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300" windowWidth="12120" windowHeight="8940" tabRatio="917" firstSheet="62" activeTab="63"/>
  </bookViews>
  <sheets>
    <sheet name="Sheet1" sheetId="110" r:id="rId1"/>
    <sheet name="Contents1" sheetId="167" r:id="rId2"/>
    <sheet name="Sheet2" sheetId="140" r:id="rId3"/>
    <sheet name="AT-1-Gen_Info " sheetId="56" r:id="rId4"/>
    <sheet name="AT-2-S1 BUDGET" sheetId="96" r:id="rId5"/>
    <sheet name="AT_2A_fundflow" sheetId="139" r:id="rId6"/>
    <sheet name="AT-3" sheetId="100" r:id="rId7"/>
    <sheet name="AT3A_cvrg(Insti)_PY" sheetId="1" r:id="rId8"/>
    <sheet name="AT3B_cvrg(Insti)_UPY " sheetId="58" r:id="rId9"/>
    <sheet name="AT3C_cvrg(Insti)_UPY " sheetId="59" r:id="rId10"/>
    <sheet name="enrolment vs opted_PY" sheetId="60" r:id="rId11"/>
    <sheet name="enrolment vs opted_UPY" sheetId="47" r:id="rId12"/>
    <sheet name="AT-4B" sheetId="152" r:id="rId13"/>
    <sheet name="T5_PLAN_vs_PRFM" sheetId="4" r:id="rId14"/>
    <sheet name="T5A_PLAN_vs_PRFM (2)" sheetId="67" r:id="rId15"/>
    <sheet name="AT_5B PERM" sheetId="118" r:id="rId16"/>
    <sheet name="AT_5C PERM" sheetId="119" r:id="rId17"/>
    <sheet name="AT_5D PERM" sheetId="120" r:id="rId18"/>
    <sheet name="T6_FG_py_Utlsn" sheetId="5" r:id="rId19"/>
    <sheet name="T6A_FG_Upy_Utlsn " sheetId="74" r:id="rId20"/>
    <sheet name="T6B_Pay_FG_FCI_Pry" sheetId="86" r:id="rId21"/>
    <sheet name="T6C_Util" sheetId="121" r:id="rId22"/>
    <sheet name="T7_CC_PY_Utlsn" sheetId="7" r:id="rId23"/>
    <sheet name="T7ACC_UPY_Utlsn " sheetId="75" r:id="rId24"/>
    <sheet name="AT-8_Hon_CCH_Pry" sheetId="88" r:id="rId25"/>
    <sheet name="AT-8A_Hon_CCH_UPRY" sheetId="89" r:id="rId26"/>
    <sheet name="AT9_TA" sheetId="13" r:id="rId27"/>
    <sheet name="AT10_MME" sheetId="14" r:id="rId28"/>
    <sheet name="AT10A_" sheetId="132" r:id="rId29"/>
    <sheet name="AT-10B" sheetId="126" r:id="rId30"/>
    <sheet name="AT-10C" sheetId="128" r:id="rId31"/>
    <sheet name="AT-10D" sheetId="102" r:id="rId32"/>
    <sheet name="AT-10 E" sheetId="153" r:id="rId33"/>
    <sheet name="AT-10 F Cooks Training (2)" sheetId="169" r:id="rId34"/>
    <sheet name="AT-10 F Cooks Training" sheetId="166" r:id="rId35"/>
    <sheet name="AT11_KS Year" sheetId="122" r:id="rId36"/>
    <sheet name="AT11A_KS" sheetId="16" r:id="rId37"/>
    <sheet name="AT12_KD new" sheetId="26" r:id="rId38"/>
    <sheet name="AT12A_Repl" sheetId="123" r:id="rId39"/>
    <sheet name="AT-13" sheetId="135" r:id="rId40"/>
    <sheet name="AT-14" sheetId="129" r:id="rId41"/>
    <sheet name="AT-14 A" sheetId="133" r:id="rId42"/>
    <sheet name="AT-15" sheetId="130" r:id="rId43"/>
    <sheet name="AT-16" sheetId="136" r:id="rId44"/>
    <sheet name="AT_17_Coverage-SHP " sheetId="93" r:id="rId45"/>
    <sheet name="AT18_Details_Community " sheetId="66" r:id="rId46"/>
    <sheet name="AT_19_Impl_Agency" sheetId="84" r:id="rId47"/>
    <sheet name="AT_20" sheetId="137" r:id="rId48"/>
    <sheet name="AT-21" sheetId="105" r:id="rId49"/>
    <sheet name="AT-22" sheetId="108" r:id="rId50"/>
    <sheet name="AT-23" sheetId="101" r:id="rId51"/>
    <sheet name="AT-23 (A)" sheetId="142" r:id="rId52"/>
    <sheet name="AT-24" sheetId="127" r:id="rId53"/>
    <sheet name="AT-25" sheetId="109" r:id="rId54"/>
    <sheet name="Sheet3" sheetId="141" r:id="rId55"/>
    <sheet name="AT26_NoWD" sheetId="27" r:id="rId56"/>
    <sheet name="AT26A_NoWD" sheetId="28" r:id="rId57"/>
    <sheet name="AT27_Req_FG_CA_Pry" sheetId="29" r:id="rId58"/>
    <sheet name="AT27A_Req_FG_CA_UPry" sheetId="81" r:id="rId59"/>
    <sheet name="AT27B_Req_FG_CA_NCLP" sheetId="87" r:id="rId60"/>
    <sheet name="AT27C_Req_FG_CA_Drought (Pry)" sheetId="154" r:id="rId61"/>
    <sheet name="AT27D_Req_FG_CA_Drought(U.Pry.)" sheetId="155" r:id="rId62"/>
    <sheet name="AT_28_RqmtKitchen" sheetId="62" r:id="rId63"/>
    <sheet name="AT-28A_RqmtPlinthArea," sheetId="162" r:id="rId64"/>
    <sheet name="AT-28B_Kitchen repair" sheetId="163" r:id="rId65"/>
    <sheet name="AT29_Replacement KD " sheetId="164" r:id="rId66"/>
    <sheet name="AT29_A_Replacement KD" sheetId="165" r:id="rId67"/>
    <sheet name="AT-30_Coook-cum-Helper" sheetId="65" r:id="rId68"/>
    <sheet name="AT_31_Budget_provision_11-121 " sheetId="98" r:id="rId69"/>
    <sheet name="Summary of Budget-Proposed" sheetId="112" state="hidden" r:id="rId70"/>
    <sheet name="AT32_Drought Pry Util" sheetId="158" r:id="rId71"/>
    <sheet name="AT-32A Drought UPry Util" sheetId="157" r:id="rId72"/>
    <sheet name="Sheet2 (2)" sheetId="144" r:id="rId73"/>
    <sheet name="72 new madarsha" sheetId="145" r:id="rId74"/>
    <sheet name="72 Madarsas kd" sheetId="170" r:id="rId75"/>
    <sheet name="Budget-Proposed (3)" sheetId="172" r:id="rId76"/>
    <sheet name="Budget-Proposed Best Quarte (2)" sheetId="171" r:id="rId77"/>
  </sheets>
  <definedNames>
    <definedName name="_xlnm._FilterDatabase" localSheetId="59" hidden="1">AT27B_Req_FG_CA_NCLP!$A$1:$R$22</definedName>
    <definedName name="_xlnm._FilterDatabase" localSheetId="60" hidden="1">'AT27C_Req_FG_CA_Drought (Pry)'!$A$1:$R$22</definedName>
    <definedName name="_xlnm._FilterDatabase" localSheetId="61" hidden="1">'AT27D_Req_FG_CA_Drought(U.Pry.)'!$A$1:$R$22</definedName>
    <definedName name="_xlnm.Print_Area" localSheetId="74">'72 Madarsas kd'!$A$1:$V$34</definedName>
    <definedName name="_xlnm.Print_Area" localSheetId="73">'72 new madarsha'!$A$1:$G$28</definedName>
    <definedName name="_xlnm.Print_Area" localSheetId="44">'AT_17_Coverage-SHP '!$A$1:$L$34</definedName>
    <definedName name="_xlnm.Print_Area" localSheetId="46">AT_19_Impl_Agency!$A$1:$J$37</definedName>
    <definedName name="_xlnm.Print_Area" localSheetId="62">AT_28_RqmtKitchen!$A$1:$R$31</definedName>
    <definedName name="_xlnm.Print_Area" localSheetId="5">AT_2A_fundflow!$A$1:$V$36</definedName>
    <definedName name="_xlnm.Print_Area" localSheetId="68">'AT_31_Budget_provision_11-121 '!$A$1:$W$37</definedName>
    <definedName name="_xlnm.Print_Area" localSheetId="32">'AT-10 E'!$A$1:$H$30</definedName>
    <definedName name="_xlnm.Print_Area" localSheetId="34">'AT-10 F Cooks Training'!$A$1:$H$29</definedName>
    <definedName name="_xlnm.Print_Area" localSheetId="33">'AT-10 F Cooks Training (2)'!$A$1:$H$29</definedName>
    <definedName name="_xlnm.Print_Area" localSheetId="27">AT10_MME!$A$1:$H$38</definedName>
    <definedName name="_xlnm.Print_Area" localSheetId="28">AT10A_!$A$1:$E$35</definedName>
    <definedName name="_xlnm.Print_Area" localSheetId="30">'AT-10C'!$A$1:$J$31</definedName>
    <definedName name="_xlnm.Print_Area" localSheetId="31">'AT-10D'!$A$1:$L$32</definedName>
    <definedName name="_xlnm.Print_Area" localSheetId="36">AT11A_KS!$A$1:$K$33</definedName>
    <definedName name="_xlnm.Print_Area" localSheetId="37">'AT12_KD new'!$A$1:$K$35</definedName>
    <definedName name="_xlnm.Print_Area" localSheetId="39">'AT-13'!$A$1:$H$31</definedName>
    <definedName name="_xlnm.Print_Area" localSheetId="41">'AT-14 A'!$A$1:$H$18</definedName>
    <definedName name="_xlnm.Print_Area" localSheetId="43">'AT-16'!$A$1:$K$29</definedName>
    <definedName name="_xlnm.Print_Area" localSheetId="45">'AT18_Details_Community '!$A$1:$F$33</definedName>
    <definedName name="_xlnm.Print_Area" localSheetId="3">'AT-1-Gen_Info '!$A$1:$T$64</definedName>
    <definedName name="_xlnm.Print_Area" localSheetId="49">'AT-22'!$A$1:$Q$24</definedName>
    <definedName name="_xlnm.Print_Area" localSheetId="55">AT26_NoWD!$A$1:$L$32</definedName>
    <definedName name="_xlnm.Print_Area" localSheetId="56">AT26A_NoWD!$A$1:$K$31</definedName>
    <definedName name="_xlnm.Print_Area" localSheetId="57">AT27_Req_FG_CA_Pry!$A$1:$T$40</definedName>
    <definedName name="_xlnm.Print_Area" localSheetId="58">AT27A_Req_FG_CA_UPry!$A$1:$T$40</definedName>
    <definedName name="_xlnm.Print_Area" localSheetId="59">AT27B_Req_FG_CA_NCLP!$A$1:$V$37</definedName>
    <definedName name="_xlnm.Print_Area" localSheetId="60">'AT27C_Req_FG_CA_Drought (Pry)'!$A$1:$V$37</definedName>
    <definedName name="_xlnm.Print_Area" localSheetId="61">'AT27D_Req_FG_CA_Drought(U.Pry.)'!$A$1:$V$37</definedName>
    <definedName name="_xlnm.Print_Area" localSheetId="63">'AT-28A_RqmtPlinthArea,'!$A$1:$S$30</definedName>
    <definedName name="_xlnm.Print_Area" localSheetId="64">'AT-28B_Kitchen repair'!$A$1:$G$31</definedName>
    <definedName name="_xlnm.Print_Area" localSheetId="66">'AT29_A_Replacement KD'!$A$1:$V$34</definedName>
    <definedName name="_xlnm.Print_Area" localSheetId="65">'AT29_Replacement KD '!$A$1:$V$34</definedName>
    <definedName name="_xlnm.Print_Area" localSheetId="4">'AT-2-S1 BUDGET'!$A$1:$V$32</definedName>
    <definedName name="_xlnm.Print_Area" localSheetId="67">'AT-30_Coook-cum-Helper'!$A$1:$L$30</definedName>
    <definedName name="_xlnm.Print_Area" localSheetId="70">'AT32_Drought Pry Util'!$A$1:$L$32</definedName>
    <definedName name="_xlnm.Print_Area" localSheetId="71">'AT-32A Drought UPry Util'!$A$1:$L$32</definedName>
    <definedName name="_xlnm.Print_Area" localSheetId="7">'AT3A_cvrg(Insti)_PY'!$A$1:$N$35</definedName>
    <definedName name="_xlnm.Print_Area" localSheetId="8">'AT3B_cvrg(Insti)_UPY '!$A$1:$N$35</definedName>
    <definedName name="_xlnm.Print_Area" localSheetId="9">'AT3C_cvrg(Insti)_UPY '!$A$1:$N$38</definedName>
    <definedName name="_xlnm.Print_Area" localSheetId="24">'AT-8_Hon_CCH_Pry'!$A$1:$V$33</definedName>
    <definedName name="_xlnm.Print_Area" localSheetId="25">'AT-8A_Hon_CCH_UPRY'!$A$1:$V$36</definedName>
    <definedName name="_xlnm.Print_Area" localSheetId="26">AT9_TA!$A$1:$I$33</definedName>
    <definedName name="_xlnm.Print_Area" localSheetId="75">'Budget-Proposed (3)'!$A$1:$G$38</definedName>
    <definedName name="_xlnm.Print_Area" localSheetId="76">'Budget-Proposed Best Quarte (2)'!$A$1:$G$38</definedName>
    <definedName name="_xlnm.Print_Area" localSheetId="1">Contents1!$A$1:$C$68</definedName>
    <definedName name="_xlnm.Print_Area" localSheetId="10">'enrolment vs opted_PY'!$A$1:$Q$33</definedName>
    <definedName name="_xlnm.Print_Area" localSheetId="11">'enrolment vs opted_UPY'!$A$1:$Q$36</definedName>
    <definedName name="_xlnm.Print_Area" localSheetId="2">Sheet2!$A$1:$N$39</definedName>
    <definedName name="_xlnm.Print_Area" localSheetId="72">'Sheet2 (2)'!$A$1:$N$39</definedName>
    <definedName name="_xlnm.Print_Area" localSheetId="54">Sheet3!$A$1:$N$39</definedName>
    <definedName name="_xlnm.Print_Area" localSheetId="13">T5_PLAN_vs_PRFM!$A$1:$J$31</definedName>
    <definedName name="_xlnm.Print_Area" localSheetId="14">'T5A_PLAN_vs_PRFM (2)'!$A$1:$J$32</definedName>
    <definedName name="_xlnm.Print_Area" localSheetId="18">T6_FG_py_Utlsn!$A$1:$L$30</definedName>
    <definedName name="_xlnm.Print_Area" localSheetId="19">'T6A_FG_Upy_Utlsn '!$A$1:$L$31</definedName>
    <definedName name="_xlnm.Print_Area" localSheetId="20">T6B_Pay_FG_FCI_Pry!$A$1:$M$37</definedName>
    <definedName name="_xlnm.Print_Area" localSheetId="21">T6C_Util!$A$1:$L$30</definedName>
    <definedName name="_xlnm.Print_Area" localSheetId="22">T7_CC_PY_Utlsn!$A$1:$Q$32</definedName>
    <definedName name="_xlnm.Print_Area" localSheetId="23">'T7ACC_UPY_Utlsn '!$A$1:$Q$32</definedName>
  </definedNames>
  <calcPr calcId="145621"/>
</workbook>
</file>

<file path=xl/calcChain.xml><?xml version="1.0" encoding="utf-8"?>
<calcChain xmlns="http://schemas.openxmlformats.org/spreadsheetml/2006/main">
  <c r="P23" i="162" l="1"/>
  <c r="O23" i="162"/>
  <c r="L23" i="162"/>
  <c r="K23" i="162"/>
  <c r="H23" i="162"/>
  <c r="G23" i="162"/>
  <c r="D23" i="162"/>
  <c r="C23" i="162"/>
  <c r="R22" i="162"/>
  <c r="N22" i="162"/>
  <c r="J22" i="162"/>
  <c r="F22" i="162"/>
  <c r="S22" i="162" s="1"/>
  <c r="R21" i="162"/>
  <c r="N21" i="162"/>
  <c r="J21" i="162"/>
  <c r="F21" i="162"/>
  <c r="S21" i="162" s="1"/>
  <c r="R20" i="162"/>
  <c r="N20" i="162"/>
  <c r="J20" i="162"/>
  <c r="F20" i="162"/>
  <c r="S20" i="162" s="1"/>
  <c r="R19" i="162"/>
  <c r="N19" i="162"/>
  <c r="J19" i="162"/>
  <c r="F19" i="162"/>
  <c r="S19" i="162" s="1"/>
  <c r="R18" i="162"/>
  <c r="N18" i="162"/>
  <c r="J18" i="162"/>
  <c r="F18" i="162"/>
  <c r="S18" i="162" s="1"/>
  <c r="R17" i="162"/>
  <c r="N17" i="162"/>
  <c r="J17" i="162"/>
  <c r="F17" i="162"/>
  <c r="S17" i="162" s="1"/>
  <c r="R16" i="162"/>
  <c r="N16" i="162"/>
  <c r="J16" i="162"/>
  <c r="F16" i="162"/>
  <c r="S16" i="162" s="1"/>
  <c r="R15" i="162"/>
  <c r="N15" i="162"/>
  <c r="J15" i="162"/>
  <c r="F15" i="162"/>
  <c r="S15" i="162" s="1"/>
  <c r="R14" i="162"/>
  <c r="N14" i="162"/>
  <c r="J14" i="162"/>
  <c r="F14" i="162"/>
  <c r="S14" i="162" s="1"/>
  <c r="R13" i="162"/>
  <c r="N13" i="162"/>
  <c r="J13" i="162"/>
  <c r="F13" i="162"/>
  <c r="S13" i="162" s="1"/>
  <c r="R12" i="162"/>
  <c r="N12" i="162"/>
  <c r="J12" i="162"/>
  <c r="F12" i="162"/>
  <c r="S12" i="162" s="1"/>
  <c r="R11" i="162"/>
  <c r="N11" i="162"/>
  <c r="N23" i="162" s="1"/>
  <c r="J11" i="162"/>
  <c r="F11" i="162"/>
  <c r="F23" i="162" s="1"/>
  <c r="R10" i="162"/>
  <c r="R23" i="162" s="1"/>
  <c r="N10" i="162"/>
  <c r="J10" i="162"/>
  <c r="J23" i="162" s="1"/>
  <c r="F10" i="162"/>
  <c r="S10" i="162" s="1"/>
  <c r="R25" i="62"/>
  <c r="Q25" i="62"/>
  <c r="P25" i="62"/>
  <c r="O25" i="62"/>
  <c r="M25" i="62"/>
  <c r="L25" i="62"/>
  <c r="K25" i="62"/>
  <c r="I25" i="62"/>
  <c r="H25" i="62"/>
  <c r="G25" i="62"/>
  <c r="E25" i="62"/>
  <c r="D25" i="62"/>
  <c r="C25" i="62"/>
  <c r="N24" i="62"/>
  <c r="J24" i="62"/>
  <c r="F24" i="62"/>
  <c r="N23" i="62"/>
  <c r="J23" i="62"/>
  <c r="F23" i="62"/>
  <c r="N22" i="62"/>
  <c r="J22" i="62"/>
  <c r="F22" i="62"/>
  <c r="N21" i="62"/>
  <c r="J21" i="62"/>
  <c r="F21" i="62"/>
  <c r="N20" i="62"/>
  <c r="J20" i="62"/>
  <c r="F20" i="62"/>
  <c r="N19" i="62"/>
  <c r="J19" i="62"/>
  <c r="F19" i="62"/>
  <c r="N18" i="62"/>
  <c r="J18" i="62"/>
  <c r="F18" i="62"/>
  <c r="N17" i="62"/>
  <c r="J17" i="62"/>
  <c r="F17" i="62"/>
  <c r="N16" i="62"/>
  <c r="J16" i="62"/>
  <c r="F16" i="62"/>
  <c r="N15" i="62"/>
  <c r="J15" i="62"/>
  <c r="F15" i="62"/>
  <c r="N14" i="62"/>
  <c r="J14" i="62"/>
  <c r="F14" i="62"/>
  <c r="N13" i="62"/>
  <c r="N25" i="62" s="1"/>
  <c r="J13" i="62"/>
  <c r="F13" i="62"/>
  <c r="N12" i="62"/>
  <c r="J12" i="62"/>
  <c r="J25" i="62" s="1"/>
  <c r="F12" i="62"/>
  <c r="S11" i="162" l="1"/>
  <c r="S23" i="162" s="1"/>
  <c r="Z25" i="164" l="1"/>
  <c r="X25" i="164"/>
  <c r="I21" i="122" l="1"/>
  <c r="G21" i="122"/>
  <c r="E21" i="122"/>
  <c r="K24" i="16"/>
  <c r="J24" i="16"/>
  <c r="I24" i="16"/>
  <c r="H24" i="16"/>
  <c r="G24" i="16"/>
  <c r="F24" i="16"/>
  <c r="E24" i="16"/>
  <c r="D24" i="16"/>
  <c r="C24" i="16"/>
  <c r="J20" i="122"/>
  <c r="I20" i="122"/>
  <c r="H20" i="122"/>
  <c r="G20" i="122"/>
  <c r="F20" i="122"/>
  <c r="E20" i="122"/>
  <c r="D20" i="122"/>
  <c r="C20" i="122"/>
  <c r="L24" i="93" l="1"/>
  <c r="K24" i="93"/>
  <c r="J24" i="93"/>
  <c r="I24" i="93"/>
  <c r="H24" i="93"/>
  <c r="G24" i="93"/>
  <c r="F24" i="93"/>
  <c r="E24" i="93"/>
  <c r="D24" i="93"/>
  <c r="C24" i="93"/>
  <c r="Q28" i="101" l="1"/>
  <c r="Q27" i="101"/>
  <c r="Q30" i="142"/>
  <c r="Q29" i="142"/>
  <c r="E27" i="26" l="1"/>
  <c r="K25" i="67"/>
  <c r="K24" i="4"/>
  <c r="J27" i="4"/>
  <c r="J25" i="4"/>
  <c r="J26" i="4" s="1"/>
  <c r="D26" i="4"/>
  <c r="D25" i="4"/>
  <c r="E29" i="100" l="1"/>
  <c r="D29" i="100"/>
  <c r="J23" i="65" l="1"/>
  <c r="I23" i="65"/>
  <c r="H23" i="65"/>
  <c r="G23" i="65"/>
  <c r="F23" i="65"/>
  <c r="E23" i="65"/>
  <c r="D23" i="65"/>
  <c r="C23" i="65"/>
  <c r="L22" i="65"/>
  <c r="K22" i="65"/>
  <c r="L21" i="65"/>
  <c r="K21" i="65"/>
  <c r="L20" i="65"/>
  <c r="K20" i="65"/>
  <c r="L19" i="65"/>
  <c r="K19" i="65"/>
  <c r="L18" i="65"/>
  <c r="K18" i="65"/>
  <c r="L17" i="65"/>
  <c r="K17" i="65"/>
  <c r="L16" i="65"/>
  <c r="K16" i="65"/>
  <c r="L15" i="65"/>
  <c r="K15" i="65"/>
  <c r="L14" i="65"/>
  <c r="K14" i="65"/>
  <c r="L13" i="65"/>
  <c r="K13" i="65"/>
  <c r="L12" i="65"/>
  <c r="K12" i="65"/>
  <c r="L11" i="65"/>
  <c r="K11" i="65"/>
  <c r="L10" i="65"/>
  <c r="L23" i="65" s="1"/>
  <c r="K10" i="65"/>
  <c r="K23" i="65" s="1"/>
  <c r="G30" i="14" l="1"/>
  <c r="H27" i="13"/>
  <c r="D29" i="13"/>
  <c r="E29" i="13"/>
  <c r="P28" i="88"/>
  <c r="G27" i="88"/>
  <c r="P27" i="88"/>
  <c r="P26" i="88"/>
  <c r="G26" i="88"/>
  <c r="N29" i="7"/>
  <c r="N26" i="7"/>
  <c r="N27" i="7" s="1"/>
  <c r="E27" i="7"/>
  <c r="E26" i="7"/>
  <c r="F32" i="5"/>
  <c r="F30" i="5"/>
  <c r="C30" i="5"/>
  <c r="F29" i="5"/>
  <c r="C29" i="5"/>
  <c r="L26" i="60"/>
  <c r="L25" i="60"/>
  <c r="L24" i="60"/>
  <c r="G25" i="60"/>
  <c r="G24" i="60"/>
  <c r="G25" i="100"/>
  <c r="D28" i="88"/>
  <c r="D27" i="88"/>
  <c r="C27" i="88"/>
  <c r="D26" i="88"/>
  <c r="C26" i="88"/>
  <c r="D9" i="171" l="1"/>
  <c r="K19" i="86" l="1"/>
  <c r="K14" i="86"/>
  <c r="J14" i="86"/>
  <c r="G11" i="74"/>
  <c r="F9" i="145"/>
  <c r="D24" i="145"/>
  <c r="E22" i="145"/>
  <c r="E20" i="145"/>
  <c r="E18" i="145"/>
  <c r="E16" i="145"/>
  <c r="E14" i="145"/>
  <c r="D14" i="145"/>
  <c r="D10" i="145"/>
  <c r="I6" i="145"/>
  <c r="E5" i="145"/>
  <c r="D5" i="145"/>
  <c r="K5" i="145"/>
  <c r="J26" i="98" l="1"/>
  <c r="I26" i="98"/>
  <c r="U26" i="98" s="1"/>
  <c r="D27" i="98"/>
  <c r="E27" i="98"/>
  <c r="F27" i="98"/>
  <c r="G27" i="98"/>
  <c r="H27" i="98"/>
  <c r="L27" i="98"/>
  <c r="M27" i="98"/>
  <c r="N27" i="98"/>
  <c r="O27" i="98"/>
  <c r="P27" i="98"/>
  <c r="Q27" i="98"/>
  <c r="C27" i="98"/>
  <c r="V24" i="98"/>
  <c r="R24" i="98"/>
  <c r="U24" i="98" s="1"/>
  <c r="S24" i="98"/>
  <c r="T24" i="98"/>
  <c r="R25" i="98"/>
  <c r="S25" i="98"/>
  <c r="T25" i="98"/>
  <c r="R26" i="98"/>
  <c r="S26" i="98"/>
  <c r="T26" i="98"/>
  <c r="I24" i="98"/>
  <c r="J24" i="98"/>
  <c r="K24" i="98"/>
  <c r="W24" i="98" s="1"/>
  <c r="I25" i="98"/>
  <c r="J25" i="98"/>
  <c r="K25" i="98"/>
  <c r="K26" i="98"/>
  <c r="W26" i="98" s="1"/>
  <c r="R13" i="98"/>
  <c r="S13" i="98"/>
  <c r="T13" i="98"/>
  <c r="R14" i="98"/>
  <c r="S14" i="98"/>
  <c r="T14" i="98"/>
  <c r="R15" i="98"/>
  <c r="S15" i="98"/>
  <c r="T15" i="98"/>
  <c r="R16" i="98"/>
  <c r="S16" i="98"/>
  <c r="T16" i="98"/>
  <c r="R17" i="98"/>
  <c r="S17" i="98"/>
  <c r="T17" i="98"/>
  <c r="R18" i="98"/>
  <c r="S18" i="98"/>
  <c r="T18" i="98"/>
  <c r="R19" i="98"/>
  <c r="S19" i="98"/>
  <c r="T19" i="98"/>
  <c r="R20" i="98"/>
  <c r="S20" i="98"/>
  <c r="T20" i="98"/>
  <c r="R21" i="98"/>
  <c r="S21" i="98"/>
  <c r="T21" i="98"/>
  <c r="I19" i="98"/>
  <c r="U19" i="98" s="1"/>
  <c r="J19" i="98"/>
  <c r="V19" i="98" s="1"/>
  <c r="K19" i="98"/>
  <c r="W19" i="98" s="1"/>
  <c r="I20" i="98"/>
  <c r="U20" i="98" s="1"/>
  <c r="J20" i="98"/>
  <c r="V20" i="98" s="1"/>
  <c r="K20" i="98"/>
  <c r="W20" i="98" s="1"/>
  <c r="I21" i="98"/>
  <c r="U21" i="98" s="1"/>
  <c r="J21" i="98"/>
  <c r="V21" i="98" s="1"/>
  <c r="K21" i="98"/>
  <c r="W21" i="98" s="1"/>
  <c r="W25" i="98" l="1"/>
  <c r="V25" i="98"/>
  <c r="V26" i="98"/>
  <c r="U25" i="98"/>
  <c r="E31" i="172" l="1"/>
  <c r="F32" i="171"/>
  <c r="F32" i="172"/>
  <c r="E31" i="171"/>
  <c r="D31" i="171"/>
  <c r="F30" i="171"/>
  <c r="F26" i="172" l="1"/>
  <c r="D25" i="172"/>
  <c r="F25" i="172" s="1"/>
  <c r="D24" i="172"/>
  <c r="F24" i="172" s="1"/>
  <c r="E23" i="172"/>
  <c r="F23" i="172" s="1"/>
  <c r="E22" i="172"/>
  <c r="F22" i="172" s="1"/>
  <c r="E21" i="172"/>
  <c r="F21" i="172" s="1"/>
  <c r="E20" i="172"/>
  <c r="F20" i="172" s="1"/>
  <c r="E19" i="172"/>
  <c r="F19" i="172" s="1"/>
  <c r="E18" i="172"/>
  <c r="F18" i="172" s="1"/>
  <c r="E17" i="172"/>
  <c r="F17" i="172" s="1"/>
  <c r="E16" i="172"/>
  <c r="F16" i="172" s="1"/>
  <c r="E15" i="172"/>
  <c r="D15" i="172"/>
  <c r="F15" i="172" s="1"/>
  <c r="F14" i="172"/>
  <c r="E14" i="172"/>
  <c r="D14" i="172"/>
  <c r="F11" i="172"/>
  <c r="F10" i="172"/>
  <c r="D10" i="172"/>
  <c r="D9" i="172"/>
  <c r="F9" i="172" s="1"/>
  <c r="F8" i="172"/>
  <c r="E7" i="172"/>
  <c r="D7" i="172"/>
  <c r="D13" i="172" s="1"/>
  <c r="F13" i="172" s="1"/>
  <c r="E6" i="172"/>
  <c r="D6" i="172"/>
  <c r="F6" i="172" s="1"/>
  <c r="E33" i="172"/>
  <c r="D33" i="172"/>
  <c r="F33" i="172" s="1"/>
  <c r="D31" i="172"/>
  <c r="D34" i="172" s="1"/>
  <c r="F30" i="172"/>
  <c r="E34" i="172"/>
  <c r="E36" i="172"/>
  <c r="I30" i="172"/>
  <c r="E36" i="171"/>
  <c r="F26" i="171"/>
  <c r="D25" i="171"/>
  <c r="F25" i="171" s="1"/>
  <c r="D24" i="171"/>
  <c r="F24" i="171" s="1"/>
  <c r="E23" i="171"/>
  <c r="F23" i="171" s="1"/>
  <c r="E22" i="171"/>
  <c r="F22" i="171" s="1"/>
  <c r="E21" i="171"/>
  <c r="F21" i="171" s="1"/>
  <c r="E20" i="171"/>
  <c r="F20" i="171" s="1"/>
  <c r="E19" i="171"/>
  <c r="F19" i="171" s="1"/>
  <c r="E18" i="171"/>
  <c r="F18" i="171" s="1"/>
  <c r="E17" i="171"/>
  <c r="F17" i="171" s="1"/>
  <c r="E16" i="171"/>
  <c r="F16" i="171" s="1"/>
  <c r="E15" i="171"/>
  <c r="D15" i="171"/>
  <c r="E14" i="171"/>
  <c r="D14" i="171"/>
  <c r="F11" i="171"/>
  <c r="D10" i="171"/>
  <c r="F10" i="171" s="1"/>
  <c r="F9" i="171"/>
  <c r="E33" i="171"/>
  <c r="D33" i="171"/>
  <c r="E34" i="171"/>
  <c r="F8" i="171"/>
  <c r="E7" i="171"/>
  <c r="D7" i="171"/>
  <c r="E6" i="171"/>
  <c r="D6" i="171"/>
  <c r="D12" i="171" s="1"/>
  <c r="D11" i="145"/>
  <c r="D25" i="145"/>
  <c r="E23" i="145"/>
  <c r="E21" i="145"/>
  <c r="E19" i="145"/>
  <c r="E17" i="145"/>
  <c r="E15" i="145"/>
  <c r="D15" i="145"/>
  <c r="I7" i="145"/>
  <c r="E6" i="145"/>
  <c r="D6" i="145"/>
  <c r="D12" i="172" l="1"/>
  <c r="F7" i="172"/>
  <c r="F34" i="172"/>
  <c r="F12" i="172"/>
  <c r="D35" i="172"/>
  <c r="E27" i="172"/>
  <c r="E37" i="172" s="1"/>
  <c r="E27" i="171"/>
  <c r="E37" i="171" s="1"/>
  <c r="D34" i="171"/>
  <c r="F15" i="171"/>
  <c r="F33" i="171"/>
  <c r="F34" i="171" s="1"/>
  <c r="D13" i="171"/>
  <c r="F13" i="171" s="1"/>
  <c r="F6" i="171"/>
  <c r="F14" i="171"/>
  <c r="F7" i="171"/>
  <c r="F12" i="171"/>
  <c r="D13" i="145"/>
  <c r="D12" i="145"/>
  <c r="D26" i="145" l="1"/>
  <c r="D27" i="172"/>
  <c r="F27" i="172"/>
  <c r="F35" i="172"/>
  <c r="F36" i="172" s="1"/>
  <c r="D36" i="172"/>
  <c r="F27" i="171"/>
  <c r="D27" i="171"/>
  <c r="D35" i="171"/>
  <c r="D36" i="171" s="1"/>
  <c r="F37" i="172" l="1"/>
  <c r="D37" i="172"/>
  <c r="D37" i="171"/>
  <c r="F35" i="171"/>
  <c r="O25" i="170"/>
  <c r="K25" i="170"/>
  <c r="G25" i="170"/>
  <c r="C25" i="170"/>
  <c r="S24" i="170"/>
  <c r="Q24" i="170"/>
  <c r="R24" i="170" s="1"/>
  <c r="P24" i="170"/>
  <c r="N24" i="170"/>
  <c r="M24" i="170"/>
  <c r="L24" i="170"/>
  <c r="I24" i="170"/>
  <c r="H24" i="170"/>
  <c r="J24" i="170" s="1"/>
  <c r="E24" i="170"/>
  <c r="D24" i="170"/>
  <c r="S23" i="170"/>
  <c r="Q23" i="170"/>
  <c r="R23" i="170" s="1"/>
  <c r="P23" i="170"/>
  <c r="M23" i="170"/>
  <c r="L23" i="170"/>
  <c r="N23" i="170" s="1"/>
  <c r="I23" i="170"/>
  <c r="H23" i="170"/>
  <c r="E23" i="170"/>
  <c r="D23" i="170"/>
  <c r="T23" i="170" s="1"/>
  <c r="S22" i="170"/>
  <c r="Q22" i="170"/>
  <c r="R22" i="170" s="1"/>
  <c r="P22" i="170"/>
  <c r="N22" i="170"/>
  <c r="M22" i="170"/>
  <c r="L22" i="170"/>
  <c r="I22" i="170"/>
  <c r="H22" i="170"/>
  <c r="J22" i="170" s="1"/>
  <c r="E22" i="170"/>
  <c r="D22" i="170"/>
  <c r="S21" i="170"/>
  <c r="Q21" i="170"/>
  <c r="R21" i="170" s="1"/>
  <c r="P21" i="170"/>
  <c r="M21" i="170"/>
  <c r="L21" i="170"/>
  <c r="N21" i="170" s="1"/>
  <c r="I21" i="170"/>
  <c r="H21" i="170"/>
  <c r="J21" i="170" s="1"/>
  <c r="E21" i="170"/>
  <c r="D21" i="170"/>
  <c r="T21" i="170" s="1"/>
  <c r="S20" i="170"/>
  <c r="Q20" i="170"/>
  <c r="R20" i="170" s="1"/>
  <c r="P20" i="170"/>
  <c r="N20" i="170"/>
  <c r="M20" i="170"/>
  <c r="L20" i="170"/>
  <c r="I20" i="170"/>
  <c r="H20" i="170"/>
  <c r="J20" i="170" s="1"/>
  <c r="E20" i="170"/>
  <c r="D20" i="170"/>
  <c r="S19" i="170"/>
  <c r="Q19" i="170"/>
  <c r="R19" i="170" s="1"/>
  <c r="P19" i="170"/>
  <c r="M19" i="170"/>
  <c r="L19" i="170"/>
  <c r="N19" i="170" s="1"/>
  <c r="I19" i="170"/>
  <c r="H19" i="170"/>
  <c r="J19" i="170" s="1"/>
  <c r="E19" i="170"/>
  <c r="D19" i="170"/>
  <c r="T19" i="170" s="1"/>
  <c r="S18" i="170"/>
  <c r="Q18" i="170"/>
  <c r="R18" i="170" s="1"/>
  <c r="P18" i="170"/>
  <c r="N18" i="170"/>
  <c r="M18" i="170"/>
  <c r="L18" i="170"/>
  <c r="I18" i="170"/>
  <c r="H18" i="170"/>
  <c r="J18" i="170" s="1"/>
  <c r="E18" i="170"/>
  <c r="D18" i="170"/>
  <c r="S17" i="170"/>
  <c r="Q17" i="170"/>
  <c r="P17" i="170"/>
  <c r="M17" i="170"/>
  <c r="N17" i="170" s="1"/>
  <c r="L17" i="170"/>
  <c r="I17" i="170"/>
  <c r="U17" i="170" s="1"/>
  <c r="H17" i="170"/>
  <c r="E17" i="170"/>
  <c r="D17" i="170"/>
  <c r="S16" i="170"/>
  <c r="Q16" i="170"/>
  <c r="P16" i="170"/>
  <c r="R16" i="170" s="1"/>
  <c r="M16" i="170"/>
  <c r="L16" i="170"/>
  <c r="N16" i="170" s="1"/>
  <c r="I16" i="170"/>
  <c r="H16" i="170"/>
  <c r="J16" i="170" s="1"/>
  <c r="E16" i="170"/>
  <c r="D16" i="170"/>
  <c r="T16" i="170" s="1"/>
  <c r="S15" i="170"/>
  <c r="Q15" i="170"/>
  <c r="P15" i="170"/>
  <c r="N15" i="170"/>
  <c r="M15" i="170"/>
  <c r="L15" i="170"/>
  <c r="I15" i="170"/>
  <c r="H15" i="170"/>
  <c r="J15" i="170" s="1"/>
  <c r="E15" i="170"/>
  <c r="D15" i="170"/>
  <c r="S14" i="170"/>
  <c r="Q14" i="170"/>
  <c r="P14" i="170"/>
  <c r="M14" i="170"/>
  <c r="L14" i="170"/>
  <c r="N14" i="170" s="1"/>
  <c r="I14" i="170"/>
  <c r="H14" i="170"/>
  <c r="E14" i="170"/>
  <c r="D14" i="170"/>
  <c r="T14" i="170" s="1"/>
  <c r="S13" i="170"/>
  <c r="Q13" i="170"/>
  <c r="P13" i="170"/>
  <c r="N13" i="170"/>
  <c r="M13" i="170"/>
  <c r="L13" i="170"/>
  <c r="I13" i="170"/>
  <c r="H13" i="170"/>
  <c r="E13" i="170"/>
  <c r="D13" i="170"/>
  <c r="S12" i="170"/>
  <c r="Q12" i="170"/>
  <c r="Q25" i="170" s="1"/>
  <c r="P12" i="170"/>
  <c r="M12" i="170"/>
  <c r="L12" i="170"/>
  <c r="L25" i="170" s="1"/>
  <c r="I12" i="170"/>
  <c r="H12" i="170"/>
  <c r="E12" i="170"/>
  <c r="D12" i="170"/>
  <c r="E25" i="170" l="1"/>
  <c r="M25" i="170"/>
  <c r="J13" i="170"/>
  <c r="R13" i="170"/>
  <c r="U15" i="170"/>
  <c r="R15" i="170"/>
  <c r="U18" i="170"/>
  <c r="U20" i="170"/>
  <c r="U22" i="170"/>
  <c r="U24" i="170"/>
  <c r="T13" i="170"/>
  <c r="T20" i="170"/>
  <c r="V20" i="170" s="1"/>
  <c r="T22" i="170"/>
  <c r="V22" i="170" s="1"/>
  <c r="T24" i="170"/>
  <c r="V24" i="170" s="1"/>
  <c r="V19" i="170"/>
  <c r="H25" i="170"/>
  <c r="N12" i="170"/>
  <c r="T15" i="170"/>
  <c r="V15" i="170" s="1"/>
  <c r="T18" i="170"/>
  <c r="V18" i="170" s="1"/>
  <c r="J12" i="170"/>
  <c r="P25" i="170"/>
  <c r="J14" i="170"/>
  <c r="R14" i="170"/>
  <c r="U19" i="170"/>
  <c r="U21" i="170"/>
  <c r="V21" i="170" s="1"/>
  <c r="U23" i="170"/>
  <c r="R17" i="170"/>
  <c r="F36" i="171"/>
  <c r="F37" i="171" s="1"/>
  <c r="J23" i="170"/>
  <c r="V23" i="170"/>
  <c r="V16" i="170"/>
  <c r="U16" i="170"/>
  <c r="D25" i="170"/>
  <c r="S25" i="170"/>
  <c r="N25" i="170"/>
  <c r="J17" i="170"/>
  <c r="T17" i="170"/>
  <c r="V17" i="170" s="1"/>
  <c r="R12" i="170"/>
  <c r="R25" i="170" s="1"/>
  <c r="F13" i="170"/>
  <c r="F14" i="170"/>
  <c r="U14" i="170"/>
  <c r="V14" i="170" s="1"/>
  <c r="F17" i="170"/>
  <c r="F18" i="170"/>
  <c r="F19" i="170"/>
  <c r="F20" i="170"/>
  <c r="F24" i="170"/>
  <c r="I25" i="170"/>
  <c r="F12" i="170"/>
  <c r="U12" i="170"/>
  <c r="U13" i="170"/>
  <c r="V13" i="170" s="1"/>
  <c r="F15" i="170"/>
  <c r="F16" i="170"/>
  <c r="F21" i="170"/>
  <c r="F22" i="170"/>
  <c r="F23" i="170"/>
  <c r="T12" i="170"/>
  <c r="F6" i="145"/>
  <c r="F5" i="145"/>
  <c r="E19" i="163"/>
  <c r="J25" i="170" l="1"/>
  <c r="T25" i="170"/>
  <c r="V12" i="170"/>
  <c r="V25" i="170" s="1"/>
  <c r="F25" i="170"/>
  <c r="U25" i="170"/>
  <c r="E22" i="169"/>
  <c r="D22" i="169"/>
  <c r="C22" i="169"/>
  <c r="I12" i="13"/>
  <c r="D24" i="163" l="1"/>
  <c r="C24" i="163"/>
  <c r="F12" i="163"/>
  <c r="F13" i="163"/>
  <c r="F14" i="163"/>
  <c r="F15" i="163"/>
  <c r="F16" i="163"/>
  <c r="F17" i="163"/>
  <c r="F18" i="163"/>
  <c r="F19" i="163"/>
  <c r="F20" i="163"/>
  <c r="F21" i="163"/>
  <c r="F22" i="163"/>
  <c r="F23" i="163"/>
  <c r="F11" i="163"/>
  <c r="G18" i="163"/>
  <c r="E12" i="163"/>
  <c r="E13" i="163"/>
  <c r="E14" i="163"/>
  <c r="G14" i="163" s="1"/>
  <c r="E15" i="163"/>
  <c r="E16" i="163"/>
  <c r="E17" i="163"/>
  <c r="E18" i="163"/>
  <c r="E20" i="163"/>
  <c r="E21" i="163"/>
  <c r="E22" i="163"/>
  <c r="G22" i="163" s="1"/>
  <c r="E23" i="163"/>
  <c r="I12" i="163"/>
  <c r="E11" i="163"/>
  <c r="S23" i="81"/>
  <c r="S23" i="29"/>
  <c r="D23" i="152"/>
  <c r="G12" i="163" l="1"/>
  <c r="G16" i="163"/>
  <c r="F24" i="163"/>
  <c r="G20" i="163"/>
  <c r="E24" i="163"/>
  <c r="G11" i="163"/>
  <c r="G21" i="163"/>
  <c r="G17" i="163"/>
  <c r="G13" i="163"/>
  <c r="G23" i="163"/>
  <c r="G19" i="163"/>
  <c r="G15" i="163"/>
  <c r="I22" i="13"/>
  <c r="G24" i="163" l="1"/>
  <c r="R22" i="88"/>
  <c r="R13" i="88"/>
  <c r="R14" i="88"/>
  <c r="R15" i="88"/>
  <c r="R16" i="88"/>
  <c r="R17" i="88"/>
  <c r="R18" i="88"/>
  <c r="R19" i="88"/>
  <c r="R20" i="88"/>
  <c r="R21" i="88"/>
  <c r="R23" i="88"/>
  <c r="R24" i="88"/>
  <c r="P11" i="75" l="1"/>
  <c r="T12" i="7" l="1"/>
  <c r="U12" i="7"/>
  <c r="S12" i="7"/>
  <c r="S13" i="7"/>
  <c r="T13" i="7"/>
  <c r="U13" i="7" s="1"/>
  <c r="S14" i="7"/>
  <c r="T14" i="7"/>
  <c r="U14" i="7" s="1"/>
  <c r="S15" i="7"/>
  <c r="T15" i="7"/>
  <c r="U15" i="7" s="1"/>
  <c r="S16" i="7"/>
  <c r="T16" i="7"/>
  <c r="U16" i="7" s="1"/>
  <c r="S17" i="7"/>
  <c r="T17" i="7"/>
  <c r="U17" i="7" s="1"/>
  <c r="S18" i="7"/>
  <c r="T18" i="7"/>
  <c r="U18" i="7" s="1"/>
  <c r="S19" i="7"/>
  <c r="T19" i="7"/>
  <c r="U19" i="7" s="1"/>
  <c r="S20" i="7"/>
  <c r="T20" i="7"/>
  <c r="U20" i="7" s="1"/>
  <c r="S21" i="7"/>
  <c r="T21" i="7"/>
  <c r="U21" i="7" s="1"/>
  <c r="S22" i="7"/>
  <c r="T22" i="7"/>
  <c r="U22" i="7" s="1"/>
  <c r="S23" i="7"/>
  <c r="T23" i="7"/>
  <c r="U23" i="7" s="1"/>
  <c r="S24" i="7"/>
  <c r="T24" i="7"/>
  <c r="U24" i="7" s="1"/>
  <c r="S12" i="75" l="1"/>
  <c r="S13" i="75"/>
  <c r="S14" i="75"/>
  <c r="S15" i="75"/>
  <c r="S16" i="75"/>
  <c r="S17" i="75"/>
  <c r="S18" i="75"/>
  <c r="S19" i="75"/>
  <c r="S20" i="75"/>
  <c r="S21" i="75"/>
  <c r="S22" i="75"/>
  <c r="S23" i="75"/>
  <c r="S11" i="75"/>
  <c r="T11" i="75"/>
  <c r="I13" i="13" l="1"/>
  <c r="I14" i="13"/>
  <c r="I15" i="13"/>
  <c r="I16" i="13"/>
  <c r="I17" i="13"/>
  <c r="I18" i="13"/>
  <c r="I19" i="13"/>
  <c r="I20" i="13"/>
  <c r="I21" i="13"/>
  <c r="I23" i="13"/>
  <c r="I24" i="13"/>
  <c r="G25" i="13"/>
  <c r="H25" i="13"/>
  <c r="I13" i="164"/>
  <c r="I14" i="164"/>
  <c r="J14" i="164" s="1"/>
  <c r="I15" i="164"/>
  <c r="I16" i="164"/>
  <c r="J16" i="164" s="1"/>
  <c r="I17" i="164"/>
  <c r="I18" i="164"/>
  <c r="J18" i="164" s="1"/>
  <c r="I19" i="164"/>
  <c r="I20" i="164"/>
  <c r="J20" i="164" s="1"/>
  <c r="I21" i="164"/>
  <c r="I22" i="164"/>
  <c r="J22" i="164" s="1"/>
  <c r="I23" i="164"/>
  <c r="I24" i="164"/>
  <c r="I12" i="164"/>
  <c r="S13" i="164"/>
  <c r="S14" i="164"/>
  <c r="S15" i="164"/>
  <c r="S16" i="164"/>
  <c r="S17" i="164"/>
  <c r="S18" i="164"/>
  <c r="S19" i="164"/>
  <c r="T19" i="164"/>
  <c r="S20" i="164"/>
  <c r="S21" i="164"/>
  <c r="S22" i="164"/>
  <c r="S23" i="164"/>
  <c r="S24" i="164"/>
  <c r="S12" i="164"/>
  <c r="P13" i="164"/>
  <c r="Q13" i="164"/>
  <c r="R13" i="164" s="1"/>
  <c r="P14" i="164"/>
  <c r="Q14" i="164"/>
  <c r="R14" i="164" s="1"/>
  <c r="P15" i="164"/>
  <c r="Q15" i="164"/>
  <c r="P16" i="164"/>
  <c r="Q16" i="164"/>
  <c r="R16" i="164" s="1"/>
  <c r="P17" i="164"/>
  <c r="Q17" i="164"/>
  <c r="R17" i="164" s="1"/>
  <c r="P18" i="164"/>
  <c r="Q18" i="164"/>
  <c r="R18" i="164" s="1"/>
  <c r="P19" i="164"/>
  <c r="Q19" i="164"/>
  <c r="P20" i="164"/>
  <c r="Q20" i="164"/>
  <c r="R20" i="164" s="1"/>
  <c r="P21" i="164"/>
  <c r="Q21" i="164"/>
  <c r="R21" i="164" s="1"/>
  <c r="P22" i="164"/>
  <c r="Q22" i="164"/>
  <c r="R22" i="164" s="1"/>
  <c r="P23" i="164"/>
  <c r="Q23" i="164"/>
  <c r="P24" i="164"/>
  <c r="Q24" i="164"/>
  <c r="Q12" i="164"/>
  <c r="P12" i="164"/>
  <c r="O25" i="164"/>
  <c r="R24" i="164"/>
  <c r="R19" i="164"/>
  <c r="R15" i="164"/>
  <c r="M13" i="164"/>
  <c r="M14" i="164"/>
  <c r="M15" i="164"/>
  <c r="N15" i="164" s="1"/>
  <c r="M16" i="164"/>
  <c r="M17" i="164"/>
  <c r="M18" i="164"/>
  <c r="M19" i="164"/>
  <c r="M20" i="164"/>
  <c r="M21" i="164"/>
  <c r="M22" i="164"/>
  <c r="M23" i="164"/>
  <c r="M24" i="164"/>
  <c r="M12" i="164"/>
  <c r="N13" i="164"/>
  <c r="L13" i="164"/>
  <c r="L14" i="164"/>
  <c r="N14" i="164" s="1"/>
  <c r="L15" i="164"/>
  <c r="L16" i="164"/>
  <c r="L17" i="164"/>
  <c r="N17" i="164" s="1"/>
  <c r="L18" i="164"/>
  <c r="L19" i="164"/>
  <c r="N19" i="164" s="1"/>
  <c r="L20" i="164"/>
  <c r="L21" i="164"/>
  <c r="N21" i="164" s="1"/>
  <c r="L22" i="164"/>
  <c r="L23" i="164"/>
  <c r="L24" i="164"/>
  <c r="L12" i="164"/>
  <c r="K25" i="164"/>
  <c r="N24" i="164"/>
  <c r="H13" i="164"/>
  <c r="J13" i="164" s="1"/>
  <c r="H14" i="164"/>
  <c r="H15" i="164"/>
  <c r="T15" i="164" s="1"/>
  <c r="H16" i="164"/>
  <c r="H17" i="164"/>
  <c r="J17" i="164" s="1"/>
  <c r="H18" i="164"/>
  <c r="H19" i="164"/>
  <c r="H20" i="164"/>
  <c r="H21" i="164"/>
  <c r="J21" i="164" s="1"/>
  <c r="H22" i="164"/>
  <c r="H23" i="164"/>
  <c r="H24" i="164"/>
  <c r="H12" i="164"/>
  <c r="G25" i="164"/>
  <c r="J24" i="164"/>
  <c r="J19" i="164"/>
  <c r="J15" i="164"/>
  <c r="F14" i="164"/>
  <c r="D13" i="164"/>
  <c r="T13" i="164" s="1"/>
  <c r="E13" i="164"/>
  <c r="D14" i="164"/>
  <c r="T14" i="164" s="1"/>
  <c r="E14" i="164"/>
  <c r="D15" i="164"/>
  <c r="F15" i="164" s="1"/>
  <c r="E15" i="164"/>
  <c r="U15" i="164" s="1"/>
  <c r="D16" i="164"/>
  <c r="T16" i="164" s="1"/>
  <c r="E16" i="164"/>
  <c r="U16" i="164" s="1"/>
  <c r="D17" i="164"/>
  <c r="F17" i="164" s="1"/>
  <c r="E17" i="164"/>
  <c r="U17" i="164" s="1"/>
  <c r="D18" i="164"/>
  <c r="E18" i="164"/>
  <c r="D19" i="164"/>
  <c r="E19" i="164"/>
  <c r="U19" i="164" s="1"/>
  <c r="D20" i="164"/>
  <c r="F20" i="164" s="1"/>
  <c r="E20" i="164"/>
  <c r="D21" i="164"/>
  <c r="E21" i="164"/>
  <c r="F21" i="164" s="1"/>
  <c r="D22" i="164"/>
  <c r="T22" i="164" s="1"/>
  <c r="E22" i="164"/>
  <c r="U22" i="164" s="1"/>
  <c r="D23" i="164"/>
  <c r="E23" i="164"/>
  <c r="F23" i="164" s="1"/>
  <c r="D24" i="164"/>
  <c r="T24" i="164" s="1"/>
  <c r="E24" i="164"/>
  <c r="U24" i="164" s="1"/>
  <c r="E12" i="164"/>
  <c r="D12" i="164"/>
  <c r="F12" i="164" s="1"/>
  <c r="C25" i="164"/>
  <c r="V15" i="164" l="1"/>
  <c r="V19" i="164"/>
  <c r="V24" i="164"/>
  <c r="V22" i="164"/>
  <c r="V16" i="164"/>
  <c r="V14" i="164"/>
  <c r="T17" i="164"/>
  <c r="V17" i="164" s="1"/>
  <c r="U14" i="164"/>
  <c r="F22" i="164"/>
  <c r="F13" i="164"/>
  <c r="N22" i="164"/>
  <c r="N18" i="164"/>
  <c r="T12" i="164"/>
  <c r="U21" i="164"/>
  <c r="T20" i="164"/>
  <c r="U12" i="164"/>
  <c r="U13" i="164"/>
  <c r="V13" i="164" s="1"/>
  <c r="F19" i="164"/>
  <c r="U23" i="164"/>
  <c r="U20" i="164"/>
  <c r="E25" i="164"/>
  <c r="F16" i="164"/>
  <c r="T23" i="164"/>
  <c r="V23" i="164" s="1"/>
  <c r="T21" i="164"/>
  <c r="F18" i="164"/>
  <c r="F25" i="164" s="1"/>
  <c r="F24" i="164"/>
  <c r="N20" i="164"/>
  <c r="N16" i="164"/>
  <c r="I25" i="13"/>
  <c r="S25" i="164"/>
  <c r="T18" i="164"/>
  <c r="U18" i="164"/>
  <c r="D25" i="164"/>
  <c r="R12" i="164"/>
  <c r="P25" i="164"/>
  <c r="R23" i="164"/>
  <c r="Q25" i="164"/>
  <c r="N12" i="164"/>
  <c r="N23" i="164"/>
  <c r="M25" i="164"/>
  <c r="L25" i="164"/>
  <c r="J12" i="164"/>
  <c r="J23" i="164"/>
  <c r="I25" i="164"/>
  <c r="H25" i="164"/>
  <c r="O20" i="96"/>
  <c r="S20" i="96" s="1"/>
  <c r="V21" i="164" l="1"/>
  <c r="V12" i="164"/>
  <c r="U25" i="164"/>
  <c r="V20" i="164"/>
  <c r="V18" i="164"/>
  <c r="V25" i="164" s="1"/>
  <c r="T25" i="164"/>
  <c r="R25" i="164"/>
  <c r="N25" i="164"/>
  <c r="J25" i="164"/>
  <c r="O14" i="96"/>
  <c r="S14" i="96" s="1"/>
  <c r="P14" i="96"/>
  <c r="T14" i="96" s="1"/>
  <c r="Q14" i="96"/>
  <c r="U14" i="96" s="1"/>
  <c r="O15" i="96"/>
  <c r="S15" i="96" s="1"/>
  <c r="P15" i="96"/>
  <c r="T15" i="96" s="1"/>
  <c r="Q15" i="96"/>
  <c r="U15" i="96" s="1"/>
  <c r="O16" i="96"/>
  <c r="S16" i="96" s="1"/>
  <c r="V16" i="96" s="1"/>
  <c r="P16" i="96"/>
  <c r="T16" i="96" s="1"/>
  <c r="Q16" i="96"/>
  <c r="U16" i="96" s="1"/>
  <c r="O17" i="96"/>
  <c r="S17" i="96" s="1"/>
  <c r="P17" i="96"/>
  <c r="T17" i="96" s="1"/>
  <c r="Q17" i="96"/>
  <c r="U17" i="96" s="1"/>
  <c r="O18" i="96"/>
  <c r="S18" i="96" s="1"/>
  <c r="P18" i="96"/>
  <c r="T18" i="96" s="1"/>
  <c r="Q18" i="96"/>
  <c r="U18" i="96" s="1"/>
  <c r="O19" i="96"/>
  <c r="R19" i="96" s="1"/>
  <c r="P19" i="96"/>
  <c r="Q19" i="96"/>
  <c r="P20" i="96"/>
  <c r="T20" i="96" s="1"/>
  <c r="Q20" i="96"/>
  <c r="U20" i="96" s="1"/>
  <c r="O21" i="96"/>
  <c r="S21" i="96" s="1"/>
  <c r="P21" i="96"/>
  <c r="T21" i="96" s="1"/>
  <c r="Q21" i="96"/>
  <c r="U21" i="96" s="1"/>
  <c r="N19" i="96"/>
  <c r="J19" i="96"/>
  <c r="F19" i="96"/>
  <c r="V17" i="96" l="1"/>
  <c r="V14" i="96"/>
  <c r="V18" i="96"/>
  <c r="V15" i="96"/>
  <c r="G18" i="14"/>
  <c r="G28" i="14" s="1"/>
  <c r="G27" i="14"/>
  <c r="D22" i="166" l="1"/>
  <c r="E22" i="166"/>
  <c r="C24" i="5"/>
  <c r="C22" i="166" l="1"/>
  <c r="F25" i="13"/>
  <c r="G23" i="135" l="1"/>
  <c r="G22" i="153"/>
  <c r="G10" i="29"/>
  <c r="P10" i="29" s="1"/>
  <c r="G11" i="29"/>
  <c r="P11" i="29" s="1"/>
  <c r="G12" i="29"/>
  <c r="P12" i="29" s="1"/>
  <c r="G13" i="29"/>
  <c r="G14" i="29"/>
  <c r="P14" i="29" s="1"/>
  <c r="G15" i="29"/>
  <c r="P15" i="29" s="1"/>
  <c r="G16" i="29"/>
  <c r="P16" i="29" s="1"/>
  <c r="G17" i="29"/>
  <c r="G18" i="29"/>
  <c r="P18" i="29" s="1"/>
  <c r="G19" i="29"/>
  <c r="P19" i="29" s="1"/>
  <c r="G20" i="29"/>
  <c r="P20" i="29" s="1"/>
  <c r="G21" i="29"/>
  <c r="G22" i="29"/>
  <c r="P22" i="29" s="1"/>
  <c r="P13" i="29"/>
  <c r="P17" i="29"/>
  <c r="P21" i="29"/>
  <c r="D11" i="66" l="1"/>
  <c r="D12" i="66"/>
  <c r="D13" i="66"/>
  <c r="D14" i="66"/>
  <c r="D15" i="66"/>
  <c r="D16" i="66"/>
  <c r="D17" i="66"/>
  <c r="D18" i="66"/>
  <c r="D19" i="66"/>
  <c r="D20" i="66"/>
  <c r="D21" i="66"/>
  <c r="D22" i="66"/>
  <c r="D23" i="66"/>
  <c r="H12" i="129"/>
  <c r="H13" i="129"/>
  <c r="H14" i="129"/>
  <c r="H17" i="129"/>
  <c r="H19" i="129"/>
  <c r="H10" i="129"/>
  <c r="H24" i="1"/>
  <c r="I24" i="1"/>
  <c r="J24" i="1"/>
  <c r="K24" i="1"/>
  <c r="D23" i="81"/>
  <c r="E23" i="81"/>
  <c r="F23" i="81"/>
  <c r="C23" i="81"/>
  <c r="M24" i="47" l="1"/>
  <c r="N24" i="47"/>
  <c r="O24" i="47"/>
  <c r="P24" i="47"/>
  <c r="N23" i="60"/>
  <c r="O23" i="60"/>
  <c r="P23" i="60"/>
  <c r="M23" i="60"/>
  <c r="Q10" i="60"/>
  <c r="H23" i="60"/>
  <c r="J25" i="67"/>
  <c r="I25" i="67" s="1"/>
  <c r="H25" i="67"/>
  <c r="L11" i="47"/>
  <c r="L24" i="47" s="1"/>
  <c r="L12" i="47"/>
  <c r="L13" i="47"/>
  <c r="L14" i="47"/>
  <c r="L15" i="47"/>
  <c r="L16" i="47"/>
  <c r="L17" i="47"/>
  <c r="L18" i="47"/>
  <c r="L19" i="47"/>
  <c r="L20" i="47"/>
  <c r="L21" i="47"/>
  <c r="L22" i="47"/>
  <c r="L23" i="47"/>
  <c r="J24" i="4"/>
  <c r="F11" i="4" l="1"/>
  <c r="L11" i="1" l="1"/>
  <c r="G11" i="1"/>
  <c r="M11" i="1" s="1"/>
  <c r="L13" i="59"/>
  <c r="L14" i="59"/>
  <c r="L15" i="59"/>
  <c r="L16" i="59"/>
  <c r="L17" i="59"/>
  <c r="L18" i="59"/>
  <c r="L19" i="59"/>
  <c r="L20" i="59"/>
  <c r="L21" i="59"/>
  <c r="L22" i="59"/>
  <c r="L23" i="59"/>
  <c r="L24" i="59"/>
  <c r="L12" i="59"/>
  <c r="L12" i="58"/>
  <c r="L13" i="58"/>
  <c r="L14" i="58"/>
  <c r="L15" i="58"/>
  <c r="L16" i="58"/>
  <c r="L17" i="58"/>
  <c r="L18" i="58"/>
  <c r="L19" i="58"/>
  <c r="L20" i="58"/>
  <c r="L21" i="58"/>
  <c r="L22" i="58"/>
  <c r="L23" i="58"/>
  <c r="L11" i="58"/>
  <c r="L12" i="1"/>
  <c r="L13" i="1"/>
  <c r="L14" i="1"/>
  <c r="L15" i="1"/>
  <c r="L16" i="1"/>
  <c r="L17" i="1"/>
  <c r="L18" i="1"/>
  <c r="L19" i="1"/>
  <c r="L20" i="1"/>
  <c r="L21" i="1"/>
  <c r="L22" i="1"/>
  <c r="L23" i="1"/>
  <c r="L25" i="59" l="1"/>
  <c r="G23" i="100"/>
  <c r="D50" i="56"/>
  <c r="G50" i="56"/>
  <c r="F10" i="145" l="1"/>
  <c r="D22" i="136" l="1"/>
  <c r="E22" i="136"/>
  <c r="F22" i="136"/>
  <c r="G22" i="136"/>
  <c r="H22" i="136"/>
  <c r="I22" i="136"/>
  <c r="J22" i="136"/>
  <c r="C22" i="136"/>
  <c r="I22" i="130" l="1"/>
  <c r="N20" i="96" l="1"/>
  <c r="N18" i="96"/>
  <c r="H26" i="96"/>
  <c r="R17" i="96" l="1"/>
  <c r="R14" i="96"/>
  <c r="R18" i="96"/>
  <c r="R20" i="96"/>
  <c r="R15" i="96"/>
  <c r="V21" i="96"/>
  <c r="V20" i="96"/>
  <c r="R21" i="96"/>
  <c r="R16" i="96"/>
  <c r="J18" i="96"/>
  <c r="J20" i="96"/>
  <c r="G22" i="96"/>
  <c r="F18" i="96"/>
  <c r="F20" i="96"/>
  <c r="C22" i="96"/>
  <c r="K13" i="98" l="1"/>
  <c r="W13" i="98" s="1"/>
  <c r="I13" i="98"/>
  <c r="U13" i="98" s="1"/>
  <c r="K18" i="98"/>
  <c r="W18" i="98" s="1"/>
  <c r="K17" i="98"/>
  <c r="W17" i="98" s="1"/>
  <c r="J18" i="98"/>
  <c r="V18" i="98" s="1"/>
  <c r="J17" i="98"/>
  <c r="V17" i="98" s="1"/>
  <c r="I18" i="98"/>
  <c r="U18" i="98" s="1"/>
  <c r="I17" i="98"/>
  <c r="U17" i="98" s="1"/>
  <c r="E12" i="133" l="1"/>
  <c r="D12" i="133"/>
  <c r="C25" i="13"/>
  <c r="M22" i="88"/>
  <c r="M19" i="88"/>
  <c r="M16" i="88"/>
  <c r="L25" i="88"/>
  <c r="W26" i="89"/>
  <c r="X26" i="89"/>
  <c r="M13" i="88"/>
  <c r="M14" i="88"/>
  <c r="M15" i="88"/>
  <c r="M17" i="88"/>
  <c r="M18" i="88"/>
  <c r="M20" i="88"/>
  <c r="M21" i="88"/>
  <c r="M23" i="88"/>
  <c r="M24" i="88"/>
  <c r="M12" i="88"/>
  <c r="K17" i="7"/>
  <c r="K13" i="7"/>
  <c r="K14" i="7"/>
  <c r="K15" i="7"/>
  <c r="K16" i="7"/>
  <c r="K18" i="7"/>
  <c r="K19" i="7"/>
  <c r="K20" i="7"/>
  <c r="K21" i="7"/>
  <c r="K22" i="7"/>
  <c r="K23" i="7"/>
  <c r="K24" i="7"/>
  <c r="K12" i="7"/>
  <c r="H12" i="7"/>
  <c r="D25" i="7"/>
  <c r="C25" i="7"/>
  <c r="E13" i="7"/>
  <c r="E14" i="7"/>
  <c r="E15" i="7"/>
  <c r="E16" i="7"/>
  <c r="E17" i="7"/>
  <c r="E18" i="7"/>
  <c r="E19" i="7"/>
  <c r="E20" i="7"/>
  <c r="E21" i="7"/>
  <c r="E22" i="7"/>
  <c r="E23" i="7"/>
  <c r="E24" i="7"/>
  <c r="E12" i="7"/>
  <c r="E25" i="7" s="1"/>
  <c r="M25" i="88" l="1"/>
  <c r="F11" i="152" l="1"/>
  <c r="F12" i="152"/>
  <c r="F13" i="152"/>
  <c r="F14" i="152"/>
  <c r="F15" i="152"/>
  <c r="F16" i="152"/>
  <c r="F17" i="152"/>
  <c r="F18" i="152"/>
  <c r="F19" i="152"/>
  <c r="F20" i="152"/>
  <c r="F21" i="152"/>
  <c r="F22" i="152"/>
  <c r="F10" i="152"/>
  <c r="L11" i="60" l="1"/>
  <c r="L12" i="60"/>
  <c r="L13" i="60"/>
  <c r="L14" i="60"/>
  <c r="L15" i="60"/>
  <c r="L16" i="60"/>
  <c r="L17" i="60"/>
  <c r="L18" i="60"/>
  <c r="L19" i="60"/>
  <c r="L20" i="60"/>
  <c r="L21" i="60"/>
  <c r="L22" i="60"/>
  <c r="I23" i="60"/>
  <c r="J23" i="60"/>
  <c r="K23" i="60"/>
  <c r="Q11" i="60"/>
  <c r="Q12" i="60"/>
  <c r="Q13" i="60"/>
  <c r="Q14" i="60"/>
  <c r="Q15" i="60"/>
  <c r="Q16" i="60"/>
  <c r="Q17" i="60"/>
  <c r="Q18" i="60"/>
  <c r="Q19" i="60"/>
  <c r="Q20" i="60"/>
  <c r="Q21" i="60"/>
  <c r="Q22" i="60"/>
  <c r="L24" i="1"/>
  <c r="P27" i="142"/>
  <c r="O27" i="142"/>
  <c r="N27" i="142"/>
  <c r="P25" i="101"/>
  <c r="O25" i="101"/>
  <c r="N25" i="101"/>
  <c r="Q23" i="60" l="1"/>
  <c r="G21" i="28"/>
  <c r="H21" i="28" s="1"/>
  <c r="I21" i="28" s="1"/>
  <c r="G20" i="28"/>
  <c r="H20" i="28" s="1"/>
  <c r="I20" i="28" s="1"/>
  <c r="G19" i="28"/>
  <c r="H19" i="28" s="1"/>
  <c r="I19" i="28" s="1"/>
  <c r="G18" i="28"/>
  <c r="H18" i="28" s="1"/>
  <c r="I18" i="28" s="1"/>
  <c r="G17" i="28"/>
  <c r="H17" i="28" s="1"/>
  <c r="I17" i="28" s="1"/>
  <c r="H16" i="28"/>
  <c r="I16" i="28" s="1"/>
  <c r="G16" i="28"/>
  <c r="H15" i="28"/>
  <c r="I15" i="28" s="1"/>
  <c r="G15" i="28"/>
  <c r="G14" i="28"/>
  <c r="H14" i="28" s="1"/>
  <c r="I14" i="28" s="1"/>
  <c r="G13" i="28"/>
  <c r="H13" i="28" s="1"/>
  <c r="I13" i="28" s="1"/>
  <c r="H12" i="28"/>
  <c r="I12" i="28" s="1"/>
  <c r="G12" i="28"/>
  <c r="H11" i="28"/>
  <c r="I11" i="28" s="1"/>
  <c r="G11" i="28"/>
  <c r="G10" i="28"/>
  <c r="H10" i="28" s="1"/>
  <c r="I10" i="28" s="1"/>
  <c r="D22" i="153"/>
  <c r="E22" i="153"/>
  <c r="F22" i="153"/>
  <c r="H22" i="153"/>
  <c r="J10" i="28" l="1"/>
  <c r="J11" i="28"/>
  <c r="J12" i="28"/>
  <c r="J13" i="28"/>
  <c r="J14" i="28"/>
  <c r="J15" i="28"/>
  <c r="J16" i="28"/>
  <c r="J17" i="28"/>
  <c r="J18" i="28"/>
  <c r="J19" i="28"/>
  <c r="J20" i="28"/>
  <c r="J21" i="28"/>
  <c r="G23" i="5"/>
  <c r="C22" i="153" l="1"/>
  <c r="F26" i="89"/>
  <c r="H26" i="89"/>
  <c r="I26" i="89"/>
  <c r="K26" i="89"/>
  <c r="L26" i="89"/>
  <c r="N26" i="89"/>
  <c r="O26" i="89"/>
  <c r="F25" i="88"/>
  <c r="H25" i="88"/>
  <c r="I25" i="88"/>
  <c r="K25" i="88"/>
  <c r="N25" i="88"/>
  <c r="O25" i="88"/>
  <c r="P24" i="88"/>
  <c r="P23" i="88"/>
  <c r="P22" i="88"/>
  <c r="P21" i="88"/>
  <c r="P20" i="88"/>
  <c r="P19" i="88"/>
  <c r="P18" i="88"/>
  <c r="P17" i="88"/>
  <c r="P16" i="88"/>
  <c r="P15" i="88"/>
  <c r="P14" i="88"/>
  <c r="P13" i="88"/>
  <c r="P12" i="88"/>
  <c r="J24" i="88"/>
  <c r="J23" i="88"/>
  <c r="J22" i="88"/>
  <c r="J21" i="88"/>
  <c r="J20" i="88"/>
  <c r="J19" i="88"/>
  <c r="J18" i="88"/>
  <c r="J17" i="88"/>
  <c r="J16" i="88"/>
  <c r="J15" i="88"/>
  <c r="J14" i="88"/>
  <c r="J13" i="88"/>
  <c r="J12" i="88"/>
  <c r="G24" i="88"/>
  <c r="G23" i="88"/>
  <c r="G22" i="88"/>
  <c r="G21" i="88"/>
  <c r="G20" i="88"/>
  <c r="G19" i="88"/>
  <c r="G18" i="88"/>
  <c r="G17" i="88"/>
  <c r="G16" i="88"/>
  <c r="G15" i="88"/>
  <c r="G14" i="88"/>
  <c r="G13" i="88"/>
  <c r="G12" i="88"/>
  <c r="E23" i="152"/>
  <c r="G25" i="88" l="1"/>
  <c r="P25" i="88"/>
  <c r="J25" i="88"/>
  <c r="F23" i="152"/>
  <c r="G23" i="152"/>
  <c r="C23" i="152"/>
  <c r="F27" i="142" l="1"/>
  <c r="G27" i="142"/>
  <c r="H27" i="142"/>
  <c r="I27" i="142"/>
  <c r="J27" i="142"/>
  <c r="D49" i="56" l="1"/>
  <c r="G49" i="56"/>
  <c r="G22" i="58" l="1"/>
  <c r="M22" i="58" s="1"/>
  <c r="F26" i="145" l="1"/>
  <c r="F25" i="145"/>
  <c r="F24" i="145"/>
  <c r="F23" i="145"/>
  <c r="F22" i="145"/>
  <c r="F21" i="145"/>
  <c r="F20" i="145"/>
  <c r="F19" i="145"/>
  <c r="F18" i="145"/>
  <c r="F17" i="145"/>
  <c r="F16" i="145"/>
  <c r="F13" i="145"/>
  <c r="F14" i="145"/>
  <c r="F11" i="145"/>
  <c r="D7" i="145"/>
  <c r="F7" i="145" s="1"/>
  <c r="F15" i="145" l="1"/>
  <c r="E27" i="145"/>
  <c r="F12" i="145"/>
  <c r="D24" i="84"/>
  <c r="C24" i="84"/>
  <c r="F24" i="84"/>
  <c r="G24" i="84"/>
  <c r="H24" i="84"/>
  <c r="I24" i="84"/>
  <c r="D27" i="145" l="1"/>
  <c r="F27" i="145"/>
  <c r="N12" i="75" l="1"/>
  <c r="N13" i="75"/>
  <c r="N14" i="75"/>
  <c r="N15" i="75"/>
  <c r="N16" i="75"/>
  <c r="N17" i="75"/>
  <c r="N18" i="75"/>
  <c r="N19" i="75"/>
  <c r="N20" i="75"/>
  <c r="N21" i="75"/>
  <c r="N22" i="75"/>
  <c r="N23" i="75"/>
  <c r="N11" i="75"/>
  <c r="G12" i="74" l="1"/>
  <c r="G13" i="74"/>
  <c r="G14" i="74"/>
  <c r="G15" i="74"/>
  <c r="G16" i="74"/>
  <c r="G17" i="74"/>
  <c r="G18" i="74"/>
  <c r="G19" i="74"/>
  <c r="G20" i="74"/>
  <c r="G21" i="74"/>
  <c r="G22" i="74"/>
  <c r="G23" i="74"/>
  <c r="G12" i="5"/>
  <c r="G13" i="5"/>
  <c r="G14" i="5"/>
  <c r="G15" i="5"/>
  <c r="G16" i="5"/>
  <c r="G17" i="5"/>
  <c r="G18" i="5"/>
  <c r="G19" i="5"/>
  <c r="G20" i="5"/>
  <c r="G21" i="5"/>
  <c r="G22" i="5"/>
  <c r="G11" i="5"/>
  <c r="O24" i="7" l="1"/>
  <c r="C24" i="75"/>
  <c r="D24" i="75"/>
  <c r="F24" i="75"/>
  <c r="G24" i="75"/>
  <c r="I24" i="75"/>
  <c r="J24" i="75"/>
  <c r="L24" i="75"/>
  <c r="M24" i="75"/>
  <c r="F25" i="7"/>
  <c r="G25" i="7"/>
  <c r="I25" i="7"/>
  <c r="J25" i="7"/>
  <c r="L25" i="7"/>
  <c r="M25" i="7"/>
  <c r="T25" i="7" l="1"/>
  <c r="U25" i="7" s="1"/>
  <c r="S25" i="7"/>
  <c r="S24" i="75"/>
  <c r="J12" i="84"/>
  <c r="J13" i="84"/>
  <c r="J14" i="84"/>
  <c r="J15" i="84"/>
  <c r="J16" i="84"/>
  <c r="J17" i="84"/>
  <c r="J18" i="84"/>
  <c r="J19" i="84"/>
  <c r="J20" i="84"/>
  <c r="J21" i="84"/>
  <c r="J22" i="84"/>
  <c r="J23" i="84"/>
  <c r="J11" i="84"/>
  <c r="E24" i="84"/>
  <c r="G23" i="1" l="1"/>
  <c r="M23" i="1" s="1"/>
  <c r="G12" i="1"/>
  <c r="M12" i="1" s="1"/>
  <c r="G13" i="1"/>
  <c r="M13" i="1" s="1"/>
  <c r="G14" i="1"/>
  <c r="M14" i="1" s="1"/>
  <c r="G15" i="1"/>
  <c r="M15" i="1" s="1"/>
  <c r="G16" i="1"/>
  <c r="M16" i="1" s="1"/>
  <c r="G17" i="1"/>
  <c r="M17" i="1" s="1"/>
  <c r="G18" i="1"/>
  <c r="M18" i="1" s="1"/>
  <c r="G19" i="1"/>
  <c r="M19" i="1" s="1"/>
  <c r="G20" i="1"/>
  <c r="M20" i="1" s="1"/>
  <c r="G21" i="1"/>
  <c r="M21" i="1" s="1"/>
  <c r="G22" i="1"/>
  <c r="M22" i="1" s="1"/>
  <c r="Q20" i="89" l="1"/>
  <c r="Y20" i="89" s="1"/>
  <c r="N24" i="7"/>
  <c r="N23" i="7"/>
  <c r="N22" i="7"/>
  <c r="N21" i="7"/>
  <c r="N20" i="7"/>
  <c r="N19" i="7"/>
  <c r="N18" i="7"/>
  <c r="N17" i="7"/>
  <c r="N16" i="7"/>
  <c r="N15" i="7"/>
  <c r="N14" i="7"/>
  <c r="N13" i="7"/>
  <c r="N12" i="7"/>
  <c r="M15" i="86"/>
  <c r="N21" i="96"/>
  <c r="N17" i="96"/>
  <c r="N16" i="96"/>
  <c r="N15" i="96"/>
  <c r="N14" i="96"/>
  <c r="N22" i="96" s="1"/>
  <c r="N13" i="96"/>
  <c r="J21" i="96"/>
  <c r="J17" i="96"/>
  <c r="J16" i="96"/>
  <c r="J15" i="96"/>
  <c r="J14" i="96"/>
  <c r="J13" i="96"/>
  <c r="F14" i="96"/>
  <c r="F22" i="96" s="1"/>
  <c r="F27" i="96" s="1"/>
  <c r="F15" i="96"/>
  <c r="F16" i="96"/>
  <c r="F17" i="96"/>
  <c r="F21" i="96"/>
  <c r="F13" i="96"/>
  <c r="M16" i="86"/>
  <c r="M17" i="86"/>
  <c r="M18" i="86"/>
  <c r="M19" i="86"/>
  <c r="M20" i="86"/>
  <c r="M21" i="86"/>
  <c r="M22" i="86"/>
  <c r="M23" i="86"/>
  <c r="M24" i="86"/>
  <c r="M25" i="86"/>
  <c r="M26" i="86"/>
  <c r="M14" i="86"/>
  <c r="I23" i="129"/>
  <c r="L23" i="129"/>
  <c r="J23" i="129"/>
  <c r="H22" i="130"/>
  <c r="G48" i="56"/>
  <c r="D48" i="56"/>
  <c r="G47" i="56"/>
  <c r="G46" i="56"/>
  <c r="G45" i="56"/>
  <c r="G44" i="56"/>
  <c r="G43" i="56"/>
  <c r="D44" i="56"/>
  <c r="D45" i="56"/>
  <c r="D46" i="56"/>
  <c r="D47" i="56"/>
  <c r="D43" i="56"/>
  <c r="G11" i="81"/>
  <c r="P11" i="81" s="1"/>
  <c r="G12" i="81"/>
  <c r="P12" i="81" s="1"/>
  <c r="G13" i="81"/>
  <c r="P13" i="81" s="1"/>
  <c r="G14" i="81"/>
  <c r="P14" i="81" s="1"/>
  <c r="G15" i="81"/>
  <c r="P15" i="81" s="1"/>
  <c r="G16" i="81"/>
  <c r="P16" i="81" s="1"/>
  <c r="G17" i="81"/>
  <c r="G18" i="81"/>
  <c r="P18" i="81" s="1"/>
  <c r="G19" i="81"/>
  <c r="P19" i="81" s="1"/>
  <c r="G20" i="81"/>
  <c r="G21" i="81"/>
  <c r="G22" i="81"/>
  <c r="P22" i="81" s="1"/>
  <c r="G10" i="81"/>
  <c r="C24" i="74"/>
  <c r="F11" i="100"/>
  <c r="F12" i="100"/>
  <c r="F13" i="100"/>
  <c r="F14" i="100"/>
  <c r="F15" i="100"/>
  <c r="F16" i="100"/>
  <c r="F17" i="100"/>
  <c r="F18" i="100"/>
  <c r="F19" i="100"/>
  <c r="F20" i="100"/>
  <c r="F21" i="100"/>
  <c r="F22" i="100"/>
  <c r="F10" i="100"/>
  <c r="C23" i="100"/>
  <c r="Q27" i="142"/>
  <c r="M27" i="142"/>
  <c r="L27" i="142"/>
  <c r="K27" i="142"/>
  <c r="E27" i="142"/>
  <c r="D27" i="142"/>
  <c r="F14" i="135"/>
  <c r="F15" i="135"/>
  <c r="F16" i="135"/>
  <c r="F17" i="135"/>
  <c r="F18" i="135"/>
  <c r="F19" i="135"/>
  <c r="F20" i="135"/>
  <c r="F21" i="135"/>
  <c r="F22" i="135"/>
  <c r="D25" i="59"/>
  <c r="E25" i="59"/>
  <c r="F25" i="59"/>
  <c r="H25" i="59"/>
  <c r="I25" i="59"/>
  <c r="J25" i="59"/>
  <c r="K25" i="59"/>
  <c r="G24" i="59"/>
  <c r="M24" i="59" s="1"/>
  <c r="G23" i="59"/>
  <c r="M23" i="59" s="1"/>
  <c r="G22" i="59"/>
  <c r="M22" i="59" s="1"/>
  <c r="G21" i="59"/>
  <c r="M21" i="59" s="1"/>
  <c r="G20" i="59"/>
  <c r="M20" i="59" s="1"/>
  <c r="G19" i="59"/>
  <c r="M19" i="59" s="1"/>
  <c r="G18" i="59"/>
  <c r="M18" i="59" s="1"/>
  <c r="G17" i="59"/>
  <c r="M17" i="59" s="1"/>
  <c r="G16" i="59"/>
  <c r="M16" i="59" s="1"/>
  <c r="G15" i="59"/>
  <c r="M15" i="59" s="1"/>
  <c r="G14" i="59"/>
  <c r="M14" i="59" s="1"/>
  <c r="G13" i="59"/>
  <c r="M13" i="59" s="1"/>
  <c r="G12" i="59"/>
  <c r="D24" i="58"/>
  <c r="E24" i="58"/>
  <c r="F24" i="58"/>
  <c r="H24" i="58"/>
  <c r="I24" i="58"/>
  <c r="J24" i="58"/>
  <c r="K24" i="58"/>
  <c r="C24" i="58"/>
  <c r="G23" i="58"/>
  <c r="M23" i="58" s="1"/>
  <c r="G21" i="58"/>
  <c r="M21" i="58" s="1"/>
  <c r="G20" i="58"/>
  <c r="M20" i="58" s="1"/>
  <c r="G19" i="58"/>
  <c r="M19" i="58" s="1"/>
  <c r="G18" i="58"/>
  <c r="M18" i="58" s="1"/>
  <c r="G17" i="58"/>
  <c r="M17" i="58" s="1"/>
  <c r="G16" i="58"/>
  <c r="M16" i="58" s="1"/>
  <c r="G15" i="58"/>
  <c r="M15" i="58" s="1"/>
  <c r="G14" i="58"/>
  <c r="M14" i="58" s="1"/>
  <c r="G13" i="58"/>
  <c r="M13" i="58" s="1"/>
  <c r="G12" i="58"/>
  <c r="M12" i="58" s="1"/>
  <c r="G11" i="58"/>
  <c r="M11" i="58" s="1"/>
  <c r="D24" i="1"/>
  <c r="E24" i="1"/>
  <c r="F24" i="1"/>
  <c r="C24" i="1"/>
  <c r="F12" i="67"/>
  <c r="G12" i="47"/>
  <c r="G13" i="47"/>
  <c r="G14" i="47"/>
  <c r="G15" i="47"/>
  <c r="G16" i="47"/>
  <c r="G17" i="47"/>
  <c r="G18" i="47"/>
  <c r="G19" i="47"/>
  <c r="G20" i="47"/>
  <c r="G21" i="47"/>
  <c r="G22" i="47"/>
  <c r="G23" i="47"/>
  <c r="G11" i="47"/>
  <c r="T23" i="98"/>
  <c r="S23" i="98"/>
  <c r="V23" i="98" s="1"/>
  <c r="R23" i="98"/>
  <c r="T12" i="98"/>
  <c r="T27" i="98" s="1"/>
  <c r="S12" i="98"/>
  <c r="R12" i="98"/>
  <c r="R27" i="98" s="1"/>
  <c r="K23" i="98"/>
  <c r="J23" i="98"/>
  <c r="I23" i="98"/>
  <c r="J13" i="98"/>
  <c r="V13" i="98" s="1"/>
  <c r="I14" i="98"/>
  <c r="U14" i="98" s="1"/>
  <c r="J14" i="98"/>
  <c r="V14" i="98" s="1"/>
  <c r="K14" i="98"/>
  <c r="W14" i="98" s="1"/>
  <c r="I15" i="98"/>
  <c r="U15" i="98" s="1"/>
  <c r="J15" i="98"/>
  <c r="V15" i="98" s="1"/>
  <c r="K15" i="98"/>
  <c r="W15" i="98" s="1"/>
  <c r="I16" i="98"/>
  <c r="U16" i="98" s="1"/>
  <c r="J16" i="98"/>
  <c r="V16" i="98" s="1"/>
  <c r="K16" i="98"/>
  <c r="W16" i="98" s="1"/>
  <c r="J12" i="98"/>
  <c r="K12" i="98"/>
  <c r="I12" i="98"/>
  <c r="I27" i="98" s="1"/>
  <c r="F11" i="135"/>
  <c r="F12" i="135"/>
  <c r="F13" i="135"/>
  <c r="F10" i="135"/>
  <c r="M23" i="129"/>
  <c r="N23" i="129"/>
  <c r="D23" i="129"/>
  <c r="E23" i="129"/>
  <c r="G23" i="129"/>
  <c r="D26" i="89"/>
  <c r="E26" i="89"/>
  <c r="C26" i="89"/>
  <c r="D25" i="88"/>
  <c r="E25" i="88"/>
  <c r="C25" i="88"/>
  <c r="K25" i="86"/>
  <c r="F16" i="129"/>
  <c r="J16" i="81"/>
  <c r="I16" i="81" s="1"/>
  <c r="T16" i="81" s="1"/>
  <c r="J15" i="81"/>
  <c r="O13" i="75"/>
  <c r="O14" i="75"/>
  <c r="O15" i="75"/>
  <c r="O16" i="75"/>
  <c r="O17" i="75"/>
  <c r="O18" i="75"/>
  <c r="O19" i="75"/>
  <c r="O20" i="75"/>
  <c r="O21" i="75"/>
  <c r="O22" i="75"/>
  <c r="O23" i="75"/>
  <c r="O12" i="75"/>
  <c r="O11" i="75"/>
  <c r="D22" i="130"/>
  <c r="F22" i="130"/>
  <c r="G22" i="130"/>
  <c r="J22" i="130"/>
  <c r="K22" i="130"/>
  <c r="L22" i="130"/>
  <c r="C22" i="130"/>
  <c r="D23" i="135"/>
  <c r="E23" i="135"/>
  <c r="H23" i="135"/>
  <c r="C23" i="135"/>
  <c r="U21" i="88"/>
  <c r="V21" i="88" s="1"/>
  <c r="G10" i="60"/>
  <c r="G11" i="60"/>
  <c r="G12" i="60"/>
  <c r="G13" i="60"/>
  <c r="G14" i="60"/>
  <c r="G15" i="60"/>
  <c r="G16" i="60"/>
  <c r="G17" i="60"/>
  <c r="G18" i="60"/>
  <c r="G19" i="60"/>
  <c r="G20" i="60"/>
  <c r="G21" i="60"/>
  <c r="G22" i="60"/>
  <c r="L22" i="96"/>
  <c r="E22" i="96"/>
  <c r="F27" i="14"/>
  <c r="E27" i="14"/>
  <c r="D27" i="14"/>
  <c r="C27" i="14"/>
  <c r="D18" i="14"/>
  <c r="E18" i="14"/>
  <c r="F18" i="14"/>
  <c r="C18" i="14"/>
  <c r="C26" i="132"/>
  <c r="D26" i="132"/>
  <c r="E26" i="132"/>
  <c r="F23" i="66"/>
  <c r="F22" i="66"/>
  <c r="F19" i="66"/>
  <c r="F18" i="66"/>
  <c r="F15" i="66"/>
  <c r="F14" i="66"/>
  <c r="F11" i="66"/>
  <c r="U14" i="89"/>
  <c r="U15" i="89"/>
  <c r="V15" i="89" s="1"/>
  <c r="U16" i="89"/>
  <c r="U17" i="89"/>
  <c r="V17" i="89" s="1"/>
  <c r="U18" i="89"/>
  <c r="U19" i="89"/>
  <c r="U20" i="89"/>
  <c r="U21" i="89"/>
  <c r="V21" i="89" s="1"/>
  <c r="U22" i="89"/>
  <c r="U23" i="89"/>
  <c r="V23" i="89" s="1"/>
  <c r="U24" i="89"/>
  <c r="U25" i="89"/>
  <c r="V25" i="89" s="1"/>
  <c r="U13" i="89"/>
  <c r="U13" i="88"/>
  <c r="V13" i="88" s="1"/>
  <c r="U14" i="88"/>
  <c r="U15" i="88"/>
  <c r="V15" i="88" s="1"/>
  <c r="U16" i="88"/>
  <c r="V16" i="88" s="1"/>
  <c r="U17" i="88"/>
  <c r="V17" i="88" s="1"/>
  <c r="U18" i="88"/>
  <c r="V18" i="88" s="1"/>
  <c r="U19" i="88"/>
  <c r="V19" i="88" s="1"/>
  <c r="U20" i="88"/>
  <c r="V20" i="88" s="1"/>
  <c r="U22" i="88"/>
  <c r="V22" i="88" s="1"/>
  <c r="U23" i="88"/>
  <c r="V23" i="88" s="1"/>
  <c r="U24" i="88"/>
  <c r="V24" i="88" s="1"/>
  <c r="U12" i="88"/>
  <c r="P14" i="89"/>
  <c r="P15" i="89"/>
  <c r="P16" i="89"/>
  <c r="P17" i="89"/>
  <c r="P18" i="89"/>
  <c r="P19" i="89"/>
  <c r="P20" i="89"/>
  <c r="P21" i="89"/>
  <c r="P22" i="89"/>
  <c r="P23" i="89"/>
  <c r="P24" i="89"/>
  <c r="P25" i="89"/>
  <c r="P13" i="89"/>
  <c r="D27" i="86"/>
  <c r="E27" i="86"/>
  <c r="F27" i="86"/>
  <c r="G27" i="86"/>
  <c r="H27" i="86"/>
  <c r="I27" i="86"/>
  <c r="L27" i="86"/>
  <c r="C27" i="86"/>
  <c r="D24" i="74"/>
  <c r="E24" i="74"/>
  <c r="F24" i="74"/>
  <c r="D24" i="5"/>
  <c r="E24" i="5"/>
  <c r="F24" i="5"/>
  <c r="V14" i="89"/>
  <c r="V16" i="89"/>
  <c r="V18" i="89"/>
  <c r="V19" i="89"/>
  <c r="V20" i="89"/>
  <c r="V22" i="89"/>
  <c r="V24" i="89"/>
  <c r="V13" i="89"/>
  <c r="U26" i="89"/>
  <c r="K23" i="129"/>
  <c r="C23" i="129"/>
  <c r="F12" i="66"/>
  <c r="F13" i="66"/>
  <c r="F16" i="66"/>
  <c r="F17" i="66"/>
  <c r="F20" i="66"/>
  <c r="F21" i="66"/>
  <c r="E23" i="123"/>
  <c r="F23" i="123"/>
  <c r="G23" i="123"/>
  <c r="H23" i="123"/>
  <c r="I23" i="123"/>
  <c r="J23" i="123"/>
  <c r="K23" i="123"/>
  <c r="D23" i="123"/>
  <c r="C23" i="123"/>
  <c r="F28" i="14"/>
  <c r="E25" i="13"/>
  <c r="D25" i="13"/>
  <c r="W23" i="98"/>
  <c r="O12" i="7"/>
  <c r="O13" i="7"/>
  <c r="N25" i="96"/>
  <c r="N24" i="96"/>
  <c r="N26" i="96" s="1"/>
  <c r="J25" i="96"/>
  <c r="J24" i="96"/>
  <c r="F25" i="96"/>
  <c r="F24" i="96"/>
  <c r="D26" i="96"/>
  <c r="E26" i="96"/>
  <c r="G26" i="96"/>
  <c r="G27" i="96" s="1"/>
  <c r="I26" i="96"/>
  <c r="K26" i="96"/>
  <c r="L26" i="96"/>
  <c r="M26" i="96"/>
  <c r="C26" i="96"/>
  <c r="C27" i="96" s="1"/>
  <c r="H22" i="96"/>
  <c r="I22" i="96"/>
  <c r="K22" i="96"/>
  <c r="M22" i="96"/>
  <c r="D22" i="96"/>
  <c r="D27" i="96" s="1"/>
  <c r="J15" i="86"/>
  <c r="J16" i="86"/>
  <c r="J17" i="86"/>
  <c r="J18" i="86"/>
  <c r="J19" i="86"/>
  <c r="J20" i="86"/>
  <c r="J21" i="86"/>
  <c r="J22" i="86"/>
  <c r="J23" i="86"/>
  <c r="J24" i="86"/>
  <c r="J25" i="86"/>
  <c r="J26" i="86"/>
  <c r="C22" i="28"/>
  <c r="C24" i="27"/>
  <c r="Q12" i="47"/>
  <c r="Q13" i="47"/>
  <c r="Q14" i="47"/>
  <c r="Q15" i="47"/>
  <c r="Q18" i="47"/>
  <c r="Q16" i="47"/>
  <c r="Q17" i="47"/>
  <c r="Q19" i="47"/>
  <c r="Q20" i="47"/>
  <c r="Q21" i="47"/>
  <c r="Q22" i="47"/>
  <c r="Q23" i="47"/>
  <c r="Q11" i="47"/>
  <c r="G24" i="1"/>
  <c r="O13" i="96"/>
  <c r="S13" i="96" s="1"/>
  <c r="J17" i="89"/>
  <c r="R21" i="89"/>
  <c r="Z21" i="89" s="1"/>
  <c r="R22" i="89"/>
  <c r="Z22" i="89" s="1"/>
  <c r="D12" i="112"/>
  <c r="J23" i="102"/>
  <c r="K22" i="102"/>
  <c r="I23" i="102"/>
  <c r="H23" i="102"/>
  <c r="F23" i="102"/>
  <c r="G22" i="102"/>
  <c r="E23" i="102"/>
  <c r="D23" i="102"/>
  <c r="E15" i="102"/>
  <c r="F15" i="102"/>
  <c r="H15" i="102"/>
  <c r="I15" i="102"/>
  <c r="J15" i="102"/>
  <c r="D15" i="102"/>
  <c r="K18" i="102"/>
  <c r="K19" i="102"/>
  <c r="K20" i="102"/>
  <c r="K21" i="102"/>
  <c r="K17" i="102"/>
  <c r="K23" i="102" s="1"/>
  <c r="G18" i="102"/>
  <c r="G19" i="102"/>
  <c r="G20" i="102"/>
  <c r="G17" i="102"/>
  <c r="K12" i="102"/>
  <c r="K13" i="102"/>
  <c r="K14" i="102"/>
  <c r="G13" i="102"/>
  <c r="G15" i="102" s="1"/>
  <c r="G14" i="102"/>
  <c r="K11" i="102"/>
  <c r="K15" i="102" s="1"/>
  <c r="G11" i="102"/>
  <c r="F8" i="112"/>
  <c r="F7" i="112"/>
  <c r="E25" i="101"/>
  <c r="F25" i="101"/>
  <c r="G25" i="101"/>
  <c r="H25" i="101"/>
  <c r="I25" i="101"/>
  <c r="J25" i="101"/>
  <c r="K25" i="101"/>
  <c r="L25" i="101"/>
  <c r="M25" i="101"/>
  <c r="Q25" i="101"/>
  <c r="D25" i="101"/>
  <c r="H13" i="26"/>
  <c r="H14" i="26"/>
  <c r="H15" i="26"/>
  <c r="H16" i="26"/>
  <c r="J16" i="26" s="1"/>
  <c r="H17" i="26"/>
  <c r="H18" i="26"/>
  <c r="H19" i="26"/>
  <c r="H20" i="26"/>
  <c r="H21" i="26"/>
  <c r="H22" i="26"/>
  <c r="H23" i="26"/>
  <c r="H24" i="26"/>
  <c r="J24" i="26" s="1"/>
  <c r="H12" i="26"/>
  <c r="I12" i="26"/>
  <c r="F13" i="26"/>
  <c r="F14" i="26"/>
  <c r="J14" i="26" s="1"/>
  <c r="F15" i="26"/>
  <c r="F16" i="26"/>
  <c r="F17" i="26"/>
  <c r="F18" i="26"/>
  <c r="J18" i="26" s="1"/>
  <c r="F19" i="26"/>
  <c r="F20" i="26"/>
  <c r="F21" i="26"/>
  <c r="F22" i="26"/>
  <c r="J22" i="26" s="1"/>
  <c r="F23" i="26"/>
  <c r="F24" i="26"/>
  <c r="F12" i="26"/>
  <c r="E25" i="26"/>
  <c r="G25" i="26"/>
  <c r="D13" i="26"/>
  <c r="J13" i="26" s="1"/>
  <c r="D14" i="26"/>
  <c r="D15" i="26"/>
  <c r="D16" i="26"/>
  <c r="D17" i="26"/>
  <c r="D18" i="26"/>
  <c r="D19" i="26"/>
  <c r="D20" i="26"/>
  <c r="D21" i="26"/>
  <c r="J21" i="26" s="1"/>
  <c r="D22" i="26"/>
  <c r="D23" i="26"/>
  <c r="D25" i="26" s="1"/>
  <c r="D24" i="26"/>
  <c r="D12" i="26"/>
  <c r="J12" i="26" s="1"/>
  <c r="C25" i="26"/>
  <c r="K15" i="86"/>
  <c r="K16" i="86"/>
  <c r="K17" i="86"/>
  <c r="K18" i="86"/>
  <c r="K20" i="86"/>
  <c r="K21" i="86"/>
  <c r="K22" i="86"/>
  <c r="K23" i="86"/>
  <c r="K24" i="86"/>
  <c r="K26" i="86"/>
  <c r="D18" i="112"/>
  <c r="F18" i="112" s="1"/>
  <c r="D17" i="112"/>
  <c r="F17" i="112" s="1"/>
  <c r="F21" i="112"/>
  <c r="F12" i="112"/>
  <c r="F11" i="112"/>
  <c r="F9" i="112"/>
  <c r="F5" i="112"/>
  <c r="G23" i="27"/>
  <c r="H23" i="27" s="1"/>
  <c r="G22" i="27"/>
  <c r="H22" i="27" s="1"/>
  <c r="G21" i="27"/>
  <c r="H21" i="27" s="1"/>
  <c r="G20" i="27"/>
  <c r="H20" i="27" s="1"/>
  <c r="G19" i="27"/>
  <c r="H19" i="27" s="1"/>
  <c r="G18" i="27"/>
  <c r="H18" i="27" s="1"/>
  <c r="G17" i="27"/>
  <c r="H17" i="27" s="1"/>
  <c r="G16" i="27"/>
  <c r="H16" i="27" s="1"/>
  <c r="G15" i="27"/>
  <c r="H15" i="27" s="1"/>
  <c r="G14" i="27"/>
  <c r="H14" i="27" s="1"/>
  <c r="G13" i="27"/>
  <c r="H13" i="27" s="1"/>
  <c r="G12" i="27"/>
  <c r="H12" i="27" s="1"/>
  <c r="I12" i="27" s="1"/>
  <c r="E22" i="28"/>
  <c r="F22" i="28"/>
  <c r="D22" i="28"/>
  <c r="E24" i="27"/>
  <c r="F24" i="27"/>
  <c r="D24" i="27"/>
  <c r="M14" i="89"/>
  <c r="M15" i="89"/>
  <c r="M16" i="89"/>
  <c r="M17" i="89"/>
  <c r="M18" i="89"/>
  <c r="M19" i="89"/>
  <c r="M20" i="89"/>
  <c r="M21" i="89"/>
  <c r="M22" i="89"/>
  <c r="M23" i="89"/>
  <c r="M24" i="89"/>
  <c r="M25" i="89"/>
  <c r="M13" i="89"/>
  <c r="J14" i="89"/>
  <c r="J15" i="89"/>
  <c r="S15" i="89" s="1"/>
  <c r="J16" i="89"/>
  <c r="J18" i="89"/>
  <c r="S18" i="89" s="1"/>
  <c r="J19" i="89"/>
  <c r="J20" i="89"/>
  <c r="S20" i="89" s="1"/>
  <c r="J21" i="89"/>
  <c r="J23" i="89"/>
  <c r="J24" i="89"/>
  <c r="J25" i="89"/>
  <c r="S25" i="89" s="1"/>
  <c r="J13" i="89"/>
  <c r="Q14" i="89"/>
  <c r="Y14" i="89" s="1"/>
  <c r="R14" i="89"/>
  <c r="Z14" i="89" s="1"/>
  <c r="Q15" i="89"/>
  <c r="Y15" i="89" s="1"/>
  <c r="Q16" i="89"/>
  <c r="Y16" i="89" s="1"/>
  <c r="R16" i="89"/>
  <c r="Z16" i="89" s="1"/>
  <c r="Q17" i="89"/>
  <c r="Y17" i="89" s="1"/>
  <c r="Q18" i="89"/>
  <c r="Y18" i="89" s="1"/>
  <c r="R18" i="89"/>
  <c r="Z18" i="89" s="1"/>
  <c r="Q19" i="89"/>
  <c r="Y19" i="89" s="1"/>
  <c r="R20" i="89"/>
  <c r="Z20" i="89" s="1"/>
  <c r="Q21" i="89"/>
  <c r="Y21" i="89" s="1"/>
  <c r="Q22" i="89"/>
  <c r="Y22" i="89" s="1"/>
  <c r="Q23" i="89"/>
  <c r="Y23" i="89" s="1"/>
  <c r="R23" i="89"/>
  <c r="Z23" i="89" s="1"/>
  <c r="Q24" i="89"/>
  <c r="Y24" i="89" s="1"/>
  <c r="R24" i="89"/>
  <c r="Z24" i="89" s="1"/>
  <c r="Q25" i="89"/>
  <c r="Y25" i="89" s="1"/>
  <c r="R13" i="89"/>
  <c r="Z13" i="89" s="1"/>
  <c r="Q13" i="89"/>
  <c r="Y13" i="89" s="1"/>
  <c r="Q13" i="88"/>
  <c r="Q14" i="88"/>
  <c r="Q15" i="88"/>
  <c r="Q16" i="88"/>
  <c r="Q17" i="88"/>
  <c r="Q18" i="88"/>
  <c r="Q19" i="88"/>
  <c r="Q20" i="88"/>
  <c r="Q21" i="88"/>
  <c r="Q22" i="88"/>
  <c r="Q23" i="88"/>
  <c r="Q24" i="88"/>
  <c r="R12" i="88"/>
  <c r="R25" i="88" s="1"/>
  <c r="Q12" i="88"/>
  <c r="S14" i="88"/>
  <c r="S22" i="88"/>
  <c r="G14" i="89"/>
  <c r="G15" i="89"/>
  <c r="G16" i="89"/>
  <c r="G17" i="89"/>
  <c r="G18" i="89"/>
  <c r="G19" i="89"/>
  <c r="G20" i="89"/>
  <c r="G21" i="89"/>
  <c r="G22" i="89"/>
  <c r="G23" i="89"/>
  <c r="G24" i="89"/>
  <c r="G25" i="89"/>
  <c r="K12" i="75"/>
  <c r="K13" i="75"/>
  <c r="Q13" i="75" s="1"/>
  <c r="K14" i="75"/>
  <c r="K15" i="75"/>
  <c r="K16" i="75"/>
  <c r="K17" i="75"/>
  <c r="Q17" i="75" s="1"/>
  <c r="K18" i="75"/>
  <c r="K19" i="75"/>
  <c r="K20" i="75"/>
  <c r="K21" i="75"/>
  <c r="K22" i="75"/>
  <c r="K23" i="75"/>
  <c r="K11" i="75"/>
  <c r="H12" i="75"/>
  <c r="H13" i="75"/>
  <c r="H14" i="75"/>
  <c r="H15" i="75"/>
  <c r="H16" i="75"/>
  <c r="H17" i="75"/>
  <c r="H18" i="75"/>
  <c r="H19" i="75"/>
  <c r="H20" i="75"/>
  <c r="Q20" i="75" s="1"/>
  <c r="H21" i="75"/>
  <c r="H22" i="75"/>
  <c r="H23" i="75"/>
  <c r="H11" i="75"/>
  <c r="E12" i="75"/>
  <c r="E13" i="75"/>
  <c r="E14" i="75"/>
  <c r="E15" i="75"/>
  <c r="E16" i="75"/>
  <c r="E17" i="75"/>
  <c r="E18" i="75"/>
  <c r="E19" i="75"/>
  <c r="E20" i="75"/>
  <c r="E21" i="75"/>
  <c r="E22" i="75"/>
  <c r="E23" i="75"/>
  <c r="E11" i="75"/>
  <c r="P12" i="75"/>
  <c r="P13" i="75"/>
  <c r="P14" i="75"/>
  <c r="P15" i="75"/>
  <c r="P16" i="75"/>
  <c r="P17" i="75"/>
  <c r="P18" i="75"/>
  <c r="P19" i="75"/>
  <c r="P20" i="75"/>
  <c r="P21" i="75"/>
  <c r="P22" i="75"/>
  <c r="P23" i="75"/>
  <c r="P13" i="7"/>
  <c r="O14" i="7"/>
  <c r="P14" i="7"/>
  <c r="O15" i="7"/>
  <c r="P15" i="7"/>
  <c r="O16" i="7"/>
  <c r="P16" i="7"/>
  <c r="O17" i="7"/>
  <c r="P17" i="7"/>
  <c r="O18" i="7"/>
  <c r="P18" i="7"/>
  <c r="O19" i="7"/>
  <c r="P19" i="7"/>
  <c r="O20" i="7"/>
  <c r="P20" i="7"/>
  <c r="O21" i="7"/>
  <c r="P21" i="7"/>
  <c r="O22" i="7"/>
  <c r="P22" i="7"/>
  <c r="O23" i="7"/>
  <c r="P23" i="7"/>
  <c r="P24" i="7"/>
  <c r="P12" i="7"/>
  <c r="H13" i="7"/>
  <c r="Q13" i="7" s="1"/>
  <c r="H14" i="7"/>
  <c r="Q14" i="7" s="1"/>
  <c r="H15" i="7"/>
  <c r="H16" i="7"/>
  <c r="H17" i="7"/>
  <c r="Q17" i="7" s="1"/>
  <c r="H18" i="7"/>
  <c r="Q18" i="7" s="1"/>
  <c r="H19" i="7"/>
  <c r="H20" i="7"/>
  <c r="H21" i="7"/>
  <c r="H22" i="7"/>
  <c r="H23" i="7"/>
  <c r="H24" i="7"/>
  <c r="C23" i="29"/>
  <c r="D23" i="29"/>
  <c r="E23" i="29"/>
  <c r="F23" i="29"/>
  <c r="G24" i="74"/>
  <c r="F13" i="67"/>
  <c r="F14" i="67"/>
  <c r="F15" i="67"/>
  <c r="F16" i="67"/>
  <c r="F17" i="67"/>
  <c r="F18" i="67"/>
  <c r="F19" i="67"/>
  <c r="F20" i="67"/>
  <c r="F21" i="67"/>
  <c r="F22" i="67"/>
  <c r="F23" i="67"/>
  <c r="F24" i="67"/>
  <c r="E25" i="67"/>
  <c r="E24" i="4"/>
  <c r="F12" i="4"/>
  <c r="F13" i="4"/>
  <c r="F14" i="4"/>
  <c r="F15" i="4"/>
  <c r="F16" i="4"/>
  <c r="F17" i="4"/>
  <c r="F18" i="4"/>
  <c r="F19" i="4"/>
  <c r="F20" i="4"/>
  <c r="F21" i="4"/>
  <c r="F22" i="4"/>
  <c r="F23" i="4"/>
  <c r="C24" i="4"/>
  <c r="D24" i="4"/>
  <c r="C25" i="67"/>
  <c r="D25" i="67"/>
  <c r="K24" i="47"/>
  <c r="I24" i="47"/>
  <c r="H24" i="47"/>
  <c r="D24" i="47"/>
  <c r="E24" i="47"/>
  <c r="F24" i="47"/>
  <c r="J24" i="47"/>
  <c r="C24" i="47"/>
  <c r="D23" i="60"/>
  <c r="E23" i="60"/>
  <c r="F23" i="60"/>
  <c r="C23" i="60"/>
  <c r="L10" i="60"/>
  <c r="C25" i="59"/>
  <c r="E23" i="100"/>
  <c r="O24" i="96"/>
  <c r="S24" i="96" s="1"/>
  <c r="P24" i="96"/>
  <c r="T24" i="96" s="1"/>
  <c r="Q24" i="96"/>
  <c r="U24" i="96" s="1"/>
  <c r="O25" i="96"/>
  <c r="S25" i="96" s="1"/>
  <c r="P25" i="96"/>
  <c r="Q25" i="96"/>
  <c r="U25" i="96" s="1"/>
  <c r="Q13" i="96"/>
  <c r="U13" i="96" s="1"/>
  <c r="P13" i="96"/>
  <c r="O29" i="56"/>
  <c r="G29" i="56"/>
  <c r="J12" i="56"/>
  <c r="H12" i="56"/>
  <c r="F12" i="56"/>
  <c r="D12" i="56"/>
  <c r="B12" i="56"/>
  <c r="L11" i="56"/>
  <c r="L10" i="56"/>
  <c r="J17" i="26"/>
  <c r="J20" i="26"/>
  <c r="I24" i="26"/>
  <c r="I23" i="26"/>
  <c r="I22" i="26"/>
  <c r="I21" i="26"/>
  <c r="I20" i="26"/>
  <c r="I19" i="26"/>
  <c r="I18" i="26"/>
  <c r="I17" i="26"/>
  <c r="I16" i="26"/>
  <c r="I15" i="26"/>
  <c r="I14" i="26"/>
  <c r="I13" i="26"/>
  <c r="G13" i="89"/>
  <c r="J12" i="29"/>
  <c r="I12" i="29" s="1"/>
  <c r="T12" i="29" s="1"/>
  <c r="D23" i="100"/>
  <c r="K24" i="27"/>
  <c r="J15" i="29"/>
  <c r="I15" i="29" s="1"/>
  <c r="T15" i="29" s="1"/>
  <c r="S19" i="89"/>
  <c r="S23" i="88"/>
  <c r="S17" i="88"/>
  <c r="S15" i="88"/>
  <c r="S20" i="88"/>
  <c r="Q22" i="7"/>
  <c r="Q12" i="7"/>
  <c r="G24" i="4"/>
  <c r="C24" i="66"/>
  <c r="H24" i="4"/>
  <c r="I24" i="4" s="1"/>
  <c r="Q24" i="7"/>
  <c r="V12" i="98"/>
  <c r="R25" i="89"/>
  <c r="Z25" i="89" s="1"/>
  <c r="R19" i="89"/>
  <c r="Z19" i="89" s="1"/>
  <c r="R15" i="89"/>
  <c r="Z15" i="89" s="1"/>
  <c r="G25" i="67"/>
  <c r="J10" i="81"/>
  <c r="I10" i="81" s="1"/>
  <c r="T10" i="81" s="1"/>
  <c r="J11" i="81"/>
  <c r="J12" i="81"/>
  <c r="J14" i="81"/>
  <c r="J18" i="81"/>
  <c r="J19" i="81"/>
  <c r="J20" i="81"/>
  <c r="J22" i="81"/>
  <c r="I22" i="81" s="1"/>
  <c r="T22" i="81" s="1"/>
  <c r="J22" i="89"/>
  <c r="R17" i="89"/>
  <c r="Z17" i="89" s="1"/>
  <c r="I12" i="81"/>
  <c r="T12" i="81" s="1"/>
  <c r="I11" i="81"/>
  <c r="T11" i="81" s="1"/>
  <c r="I18" i="81"/>
  <c r="T18" i="81" s="1"/>
  <c r="I14" i="81"/>
  <c r="T14" i="81" s="1"/>
  <c r="F26" i="96"/>
  <c r="G22" i="28"/>
  <c r="E24" i="66"/>
  <c r="J11" i="29"/>
  <c r="I11" i="29" s="1"/>
  <c r="T11" i="29" s="1"/>
  <c r="J20" i="29"/>
  <c r="I20" i="29" s="1"/>
  <c r="T20" i="29" s="1"/>
  <c r="J18" i="29"/>
  <c r="I18" i="29" s="1"/>
  <c r="T18" i="29" s="1"/>
  <c r="D24" i="66"/>
  <c r="U23" i="98"/>
  <c r="I15" i="81"/>
  <c r="T15" i="81" s="1"/>
  <c r="J16" i="29"/>
  <c r="I16" i="29" s="1"/>
  <c r="T16" i="29" s="1"/>
  <c r="J26" i="96"/>
  <c r="R24" i="96"/>
  <c r="F23" i="100"/>
  <c r="Q21" i="75"/>
  <c r="S21" i="89"/>
  <c r="S16" i="89"/>
  <c r="S21" i="88"/>
  <c r="S24" i="88"/>
  <c r="S19" i="88"/>
  <c r="S12" i="88"/>
  <c r="S25" i="88" s="1"/>
  <c r="V14" i="88"/>
  <c r="S18" i="88"/>
  <c r="S16" i="88"/>
  <c r="S13" i="88"/>
  <c r="J21" i="81" l="1"/>
  <c r="I21" i="81" s="1"/>
  <c r="T21" i="81" s="1"/>
  <c r="P21" i="81"/>
  <c r="J17" i="81"/>
  <c r="I17" i="81" s="1"/>
  <c r="T17" i="81" s="1"/>
  <c r="P17" i="81"/>
  <c r="Q26" i="96"/>
  <c r="K27" i="98"/>
  <c r="S27" i="98"/>
  <c r="N20" i="81"/>
  <c r="P20" i="81"/>
  <c r="O22" i="96"/>
  <c r="V27" i="98"/>
  <c r="F25" i="67"/>
  <c r="H23" i="129"/>
  <c r="H16" i="129"/>
  <c r="J27" i="98"/>
  <c r="G24" i="47"/>
  <c r="P10" i="81"/>
  <c r="G23" i="81"/>
  <c r="U12" i="98"/>
  <c r="U27" i="98" s="1"/>
  <c r="Q11" i="75"/>
  <c r="U25" i="88"/>
  <c r="G26" i="89"/>
  <c r="Q12" i="75"/>
  <c r="Q15" i="75"/>
  <c r="Q19" i="75"/>
  <c r="C28" i="14"/>
  <c r="G24" i="5"/>
  <c r="J13" i="81"/>
  <c r="I13" i="81" s="1"/>
  <c r="T13" i="81" s="1"/>
  <c r="O22" i="29"/>
  <c r="N22" i="29"/>
  <c r="O18" i="29"/>
  <c r="N18" i="29"/>
  <c r="O14" i="29"/>
  <c r="M14" i="29" s="1"/>
  <c r="N14" i="29"/>
  <c r="O19" i="29"/>
  <c r="N19" i="29"/>
  <c r="O15" i="29"/>
  <c r="N15" i="29"/>
  <c r="O11" i="29"/>
  <c r="N11" i="29"/>
  <c r="O10" i="29"/>
  <c r="J10" i="29"/>
  <c r="O20" i="29"/>
  <c r="M20" i="29" s="1"/>
  <c r="N20" i="29"/>
  <c r="O16" i="29"/>
  <c r="N16" i="29"/>
  <c r="O12" i="29"/>
  <c r="N12" i="29"/>
  <c r="O21" i="29"/>
  <c r="N21" i="29"/>
  <c r="O17" i="29"/>
  <c r="N17" i="29"/>
  <c r="O13" i="29"/>
  <c r="N13" i="29"/>
  <c r="F24" i="4"/>
  <c r="G23" i="60"/>
  <c r="J22" i="29"/>
  <c r="I22" i="29" s="1"/>
  <c r="T22" i="29" s="1"/>
  <c r="J14" i="29"/>
  <c r="I14" i="29" s="1"/>
  <c r="T14" i="29" s="1"/>
  <c r="N21" i="81"/>
  <c r="M21" i="81" s="1"/>
  <c r="O21" i="81"/>
  <c r="N17" i="81"/>
  <c r="M17" i="81" s="1"/>
  <c r="O17" i="81"/>
  <c r="N13" i="81"/>
  <c r="M13" i="81" s="1"/>
  <c r="O13" i="81"/>
  <c r="R13" i="96"/>
  <c r="Q22" i="96"/>
  <c r="Q27" i="96" s="1"/>
  <c r="J19" i="29"/>
  <c r="I19" i="29" s="1"/>
  <c r="T19" i="29" s="1"/>
  <c r="W12" i="98"/>
  <c r="W27" i="98" s="1"/>
  <c r="O22" i="81"/>
  <c r="N22" i="81"/>
  <c r="O18" i="81"/>
  <c r="N18" i="81"/>
  <c r="O14" i="81"/>
  <c r="N14" i="81"/>
  <c r="N10" i="29"/>
  <c r="P26" i="96"/>
  <c r="S26" i="96"/>
  <c r="N10" i="81"/>
  <c r="M10" i="81" s="1"/>
  <c r="O10" i="81"/>
  <c r="O19" i="81"/>
  <c r="N19" i="81"/>
  <c r="O15" i="81"/>
  <c r="N15" i="81"/>
  <c r="P23" i="81"/>
  <c r="O11" i="81"/>
  <c r="N11" i="81"/>
  <c r="M11" i="81" s="1"/>
  <c r="S14" i="89"/>
  <c r="G24" i="58"/>
  <c r="J21" i="29"/>
  <c r="I21" i="29" s="1"/>
  <c r="T21" i="29" s="1"/>
  <c r="J17" i="29"/>
  <c r="I17" i="29" s="1"/>
  <c r="T17" i="29" s="1"/>
  <c r="J13" i="29"/>
  <c r="I13" i="29" s="1"/>
  <c r="T13" i="29" s="1"/>
  <c r="O20" i="81"/>
  <c r="N16" i="81"/>
  <c r="O16" i="81"/>
  <c r="N12" i="81"/>
  <c r="O12" i="81"/>
  <c r="I25" i="26"/>
  <c r="Q25" i="88"/>
  <c r="H12" i="14"/>
  <c r="H18" i="14" s="1"/>
  <c r="J22" i="96"/>
  <c r="J27" i="96" s="1"/>
  <c r="I27" i="96"/>
  <c r="T25" i="96"/>
  <c r="V25" i="96" s="1"/>
  <c r="R25" i="96"/>
  <c r="R26" i="96" s="1"/>
  <c r="O26" i="96"/>
  <c r="O27" i="96" s="1"/>
  <c r="P22" i="96"/>
  <c r="P27" i="96" s="1"/>
  <c r="T13" i="96"/>
  <c r="V13" i="96" s="1"/>
  <c r="E27" i="96"/>
  <c r="F25" i="26"/>
  <c r="P26" i="89"/>
  <c r="S23" i="89"/>
  <c r="M26" i="89"/>
  <c r="S13" i="89"/>
  <c r="S22" i="89"/>
  <c r="R26" i="89"/>
  <c r="Z26" i="89" s="1"/>
  <c r="Q26" i="89"/>
  <c r="Y26" i="89" s="1"/>
  <c r="J26" i="89"/>
  <c r="Q14" i="75"/>
  <c r="Q23" i="7"/>
  <c r="Q19" i="7"/>
  <c r="F23" i="135"/>
  <c r="L23" i="60"/>
  <c r="Q24" i="47"/>
  <c r="E28" i="14"/>
  <c r="H19" i="14"/>
  <c r="H27" i="14" s="1"/>
  <c r="D28" i="14"/>
  <c r="G23" i="29"/>
  <c r="M27" i="86"/>
  <c r="G24" i="27"/>
  <c r="G25" i="59"/>
  <c r="L12" i="56"/>
  <c r="G23" i="102"/>
  <c r="E22" i="130"/>
  <c r="H25" i="26"/>
  <c r="I19" i="81"/>
  <c r="T19" i="81" s="1"/>
  <c r="I20" i="81"/>
  <c r="T20" i="81" s="1"/>
  <c r="M27" i="96"/>
  <c r="H27" i="96"/>
  <c r="J23" i="26"/>
  <c r="J19" i="26"/>
  <c r="J15" i="26"/>
  <c r="V12" i="88"/>
  <c r="V25" i="88" s="1"/>
  <c r="V26" i="89"/>
  <c r="M12" i="59"/>
  <c r="N27" i="96"/>
  <c r="K27" i="96"/>
  <c r="F24" i="66"/>
  <c r="L27" i="96"/>
  <c r="L24" i="58"/>
  <c r="U26" i="96"/>
  <c r="J13" i="27"/>
  <c r="I13" i="27"/>
  <c r="J17" i="27"/>
  <c r="I17" i="27"/>
  <c r="J21" i="27"/>
  <c r="I21" i="27"/>
  <c r="E6" i="112"/>
  <c r="H24" i="27"/>
  <c r="J12" i="27"/>
  <c r="I16" i="27"/>
  <c r="J16" i="27"/>
  <c r="J20" i="27"/>
  <c r="I20" i="27"/>
  <c r="J15" i="27"/>
  <c r="I15" i="27"/>
  <c r="I19" i="27"/>
  <c r="J19" i="27"/>
  <c r="J23" i="27"/>
  <c r="I23" i="27"/>
  <c r="H22" i="28"/>
  <c r="U22" i="96"/>
  <c r="V24" i="96"/>
  <c r="I14" i="27"/>
  <c r="J14" i="27"/>
  <c r="J18" i="27"/>
  <c r="I18" i="27"/>
  <c r="I22" i="27"/>
  <c r="J22" i="27"/>
  <c r="Q23" i="75"/>
  <c r="S24" i="89"/>
  <c r="M24" i="1"/>
  <c r="F23" i="129"/>
  <c r="S17" i="89"/>
  <c r="Q22" i="75"/>
  <c r="Q18" i="75"/>
  <c r="N24" i="75"/>
  <c r="Q16" i="75"/>
  <c r="P24" i="75"/>
  <c r="O24" i="75"/>
  <c r="H24" i="75"/>
  <c r="E24" i="75"/>
  <c r="K24" i="75"/>
  <c r="Q21" i="7"/>
  <c r="N25" i="7"/>
  <c r="Q20" i="7"/>
  <c r="Q16" i="7"/>
  <c r="Q15" i="7"/>
  <c r="K25" i="7"/>
  <c r="P25" i="7"/>
  <c r="J27" i="86"/>
  <c r="K27" i="86"/>
  <c r="O25" i="7"/>
  <c r="H25" i="7"/>
  <c r="J24" i="84"/>
  <c r="M16" i="81" l="1"/>
  <c r="M19" i="81"/>
  <c r="M14" i="81"/>
  <c r="M22" i="81"/>
  <c r="O23" i="81"/>
  <c r="M12" i="81"/>
  <c r="M15" i="81"/>
  <c r="M18" i="81"/>
  <c r="M20" i="81"/>
  <c r="T22" i="96"/>
  <c r="J25" i="26"/>
  <c r="M11" i="29"/>
  <c r="M16" i="29"/>
  <c r="J23" i="81"/>
  <c r="D4" i="112"/>
  <c r="P23" i="29"/>
  <c r="N23" i="29"/>
  <c r="M10" i="29"/>
  <c r="M13" i="29"/>
  <c r="M17" i="29"/>
  <c r="M21" i="29"/>
  <c r="M12" i="29"/>
  <c r="O23" i="29"/>
  <c r="M15" i="29"/>
  <c r="M18" i="29"/>
  <c r="M22" i="29"/>
  <c r="J23" i="29"/>
  <c r="I10" i="29"/>
  <c r="M19" i="29"/>
  <c r="T26" i="96"/>
  <c r="U27" i="96"/>
  <c r="V26" i="96"/>
  <c r="S26" i="89"/>
  <c r="N23" i="81"/>
  <c r="M24" i="58"/>
  <c r="M25" i="59"/>
  <c r="D14" i="112"/>
  <c r="F14" i="112" s="1"/>
  <c r="I23" i="81"/>
  <c r="T23" i="81" s="1"/>
  <c r="V22" i="96"/>
  <c r="R22" i="96"/>
  <c r="R27" i="96" s="1"/>
  <c r="S22" i="96"/>
  <c r="S27" i="96" s="1"/>
  <c r="I24" i="27"/>
  <c r="E4" i="112"/>
  <c r="E22" i="112" s="1"/>
  <c r="I22" i="28"/>
  <c r="J24" i="27"/>
  <c r="D13" i="112"/>
  <c r="F13" i="112" s="1"/>
  <c r="J22" i="28"/>
  <c r="D6" i="112"/>
  <c r="F6" i="112" s="1"/>
  <c r="Q24" i="75"/>
  <c r="Q25" i="7"/>
  <c r="H28" i="14"/>
  <c r="T27" i="96" l="1"/>
  <c r="I23" i="29"/>
  <c r="T23" i="29" s="1"/>
  <c r="T10" i="29"/>
  <c r="M23" i="29"/>
  <c r="D19" i="112" s="1"/>
  <c r="F19" i="112" s="1"/>
  <c r="M23" i="81"/>
  <c r="D20" i="112" s="1"/>
  <c r="F20" i="112" s="1"/>
  <c r="V27" i="96"/>
  <c r="F4" i="112"/>
  <c r="D16" i="112" l="1"/>
  <c r="F16" i="112" s="1"/>
  <c r="D15" i="112"/>
  <c r="F15" i="112" s="1"/>
  <c r="D22" i="112"/>
  <c r="F22" i="112"/>
</calcChain>
</file>

<file path=xl/sharedStrings.xml><?xml version="1.0" encoding="utf-8"?>
<sst xmlns="http://schemas.openxmlformats.org/spreadsheetml/2006/main" count="3586" uniqueCount="1142">
  <si>
    <t>[Mid-Day Meal Scheme]</t>
  </si>
  <si>
    <t>State:</t>
  </si>
  <si>
    <t>S.No.</t>
  </si>
  <si>
    <t>Name of District</t>
  </si>
  <si>
    <t>No. of  Institutions</t>
  </si>
  <si>
    <t xml:space="preserve">(Govt+LB)Schools </t>
  </si>
  <si>
    <t>GA Schools</t>
  </si>
  <si>
    <t>Govt: Government Schools</t>
  </si>
  <si>
    <t>LB: Local Body Schools</t>
  </si>
  <si>
    <t>GA: Govt Aided Schools</t>
  </si>
  <si>
    <t xml:space="preserve"> </t>
  </si>
  <si>
    <t>Date:_________</t>
  </si>
  <si>
    <t>(Signature)</t>
  </si>
  <si>
    <t xml:space="preserve">Secretary of the Nodal Department </t>
  </si>
  <si>
    <t xml:space="preserve">                          Government/UT Administration of ________</t>
  </si>
  <si>
    <t>(Only in MS-Excel Format)</t>
  </si>
  <si>
    <t xml:space="preserve">No. of children </t>
  </si>
  <si>
    <t>Total no. of meals served</t>
  </si>
  <si>
    <t>Total</t>
  </si>
  <si>
    <t>Government/UT Administration of ________</t>
  </si>
  <si>
    <t>[Qnty in MTs]</t>
  </si>
  <si>
    <t>Rice</t>
  </si>
  <si>
    <t>Date:</t>
  </si>
  <si>
    <t xml:space="preserve">          Seal:</t>
  </si>
  <si>
    <t>[Rs. in lakh]</t>
  </si>
  <si>
    <t>Sl. No.</t>
  </si>
  <si>
    <t>Primary</t>
  </si>
  <si>
    <t>Upper Primary</t>
  </si>
  <si>
    <t>[Rs. in Lakh]</t>
  </si>
  <si>
    <t>Activities                                                               (Please list item-wise details as far as possible)</t>
  </si>
  <si>
    <t>I</t>
  </si>
  <si>
    <t xml:space="preserve">School Level Expenses </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</si>
  <si>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</si>
  <si>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</si>
  <si>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</si>
  <si>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</si>
  <si>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</si>
  <si>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</si>
  <si>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</si>
  <si>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</si>
  <si>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</si>
  <si>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</si>
  <si>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</si>
  <si>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</si>
  <si>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</si>
  <si>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</si>
  <si>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</si>
  <si>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</si>
  <si>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</si>
  <si>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</si>
  <si>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</si>
  <si>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</si>
  <si>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 xml:space="preserve">Foodgrains (Wheat/Rice) </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</si>
  <si>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</si>
  <si>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</si>
  <si>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</si>
  <si>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</si>
  <si>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</si>
  <si>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</si>
  <si>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</si>
  <si>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</si>
  <si>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</si>
  <si>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</si>
  <si>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</si>
  <si>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</si>
  <si>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</si>
  <si>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</si>
  <si>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</si>
  <si>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</si>
  <si>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</si>
  <si>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</si>
  <si>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</si>
  <si>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</si>
  <si>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</si>
  <si>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</si>
  <si>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</si>
  <si>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</si>
  <si>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</si>
  <si>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</si>
  <si>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</si>
  <si>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</si>
  <si>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</si>
  <si>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</si>
  <si>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</si>
  <si>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</si>
  <si>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</si>
  <si>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</si>
  <si>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 xml:space="preserve"> Government/UT Administration of ________</t>
  </si>
  <si>
    <t>Table: AT-17</t>
  </si>
  <si>
    <t>Table: AT-3A</t>
  </si>
  <si>
    <t>Table: AT-3B</t>
  </si>
  <si>
    <t>Table: AT-5A</t>
  </si>
  <si>
    <t xml:space="preserve">Total </t>
  </si>
  <si>
    <t xml:space="preserve">                                                                                                                                                                               Government/UT Administration of ________</t>
  </si>
  <si>
    <t>Table: AT-7A</t>
  </si>
  <si>
    <t>Requirement of funds for Foodgrains (Rs. in lakhs)</t>
  </si>
  <si>
    <t xml:space="preserve">Total Cooking cost expenditure                   </t>
  </si>
  <si>
    <t xml:space="preserve">Cooking assistance received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</si>
  <si>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</si>
  <si>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</si>
  <si>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</si>
  <si>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</si>
  <si>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</si>
  <si>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</si>
  <si>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</si>
  <si>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</si>
  <si>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</si>
  <si>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</si>
  <si>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</si>
  <si>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</si>
  <si>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</si>
  <si>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</si>
  <si>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</si>
  <si>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SI.No</t>
  </si>
  <si>
    <t>Component</t>
  </si>
  <si>
    <t>No. of Meals served</t>
  </si>
  <si>
    <t xml:space="preserve">No. of working days on which MDM served </t>
  </si>
  <si>
    <t>Centre</t>
  </si>
  <si>
    <t>Central assistance received</t>
  </si>
  <si>
    <t>*Rice</t>
  </si>
  <si>
    <t>*Wheat</t>
  </si>
  <si>
    <t xml:space="preserve">*Norms are only for guidance. Actual number will be determined on the basis of ground reality. </t>
  </si>
  <si>
    <t>Total            (col 3+4+5+6)</t>
  </si>
  <si>
    <t>Total       (col.8+9+10+11)</t>
  </si>
  <si>
    <t>Plinth Area 1</t>
  </si>
  <si>
    <t>No. of Institutions</t>
  </si>
  <si>
    <t>Plinth Area 2</t>
  </si>
  <si>
    <t>Plinth Area 3</t>
  </si>
  <si>
    <t>Plinth Area 4</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</si>
  <si>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</si>
  <si>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</si>
  <si>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</si>
  <si>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</si>
  <si>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</si>
  <si>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</si>
  <si>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</si>
  <si>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</si>
  <si>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</si>
  <si>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</si>
  <si>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</si>
  <si>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</si>
  <si>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</si>
  <si>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</si>
  <si>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</si>
  <si>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</si>
  <si>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</si>
  <si>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</si>
  <si>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r>
      <t xml:space="preserve">Total  </t>
    </r>
    <r>
      <rPr>
        <b/>
        <i/>
        <sz val="10"/>
        <rFont val="Arial"/>
        <family val="2"/>
      </rPr>
      <t xml:space="preserve"> </t>
    </r>
  </si>
  <si>
    <t xml:space="preserve"># Rice </t>
  </si>
  <si>
    <t xml:space="preserve">## Wheat </t>
  </si>
  <si>
    <t xml:space="preserve">Unit Cost </t>
  </si>
  <si>
    <t>(Rs. In lakhs)</t>
  </si>
  <si>
    <t>*No. of additional cooks required as per norm</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</si>
  <si>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</si>
  <si>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</si>
  <si>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</si>
  <si>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</si>
  <si>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</si>
  <si>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</si>
  <si>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</si>
  <si>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</si>
  <si>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</si>
  <si>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</si>
  <si>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</si>
  <si>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</si>
  <si>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</si>
  <si>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</si>
  <si>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Budget Provision</t>
  </si>
  <si>
    <t>*: includes unspent balance at State, District, Block and school level (including NGOs/Private Agencies).</t>
  </si>
  <si>
    <t xml:space="preserve">Expenditure </t>
  </si>
  <si>
    <t xml:space="preserve"> Holidays</t>
  </si>
  <si>
    <t>Holidays</t>
  </si>
  <si>
    <t>No. of Schools not having Kitchen Shed</t>
  </si>
  <si>
    <t>Fund required</t>
  </si>
  <si>
    <t>Kitchen-cum-Store proposed this year</t>
  </si>
  <si>
    <t>Total fund required : (Col. 6+10+14+18)</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</si>
  <si>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</si>
  <si>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</si>
  <si>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</si>
  <si>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</si>
  <si>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</si>
  <si>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</si>
  <si>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</si>
  <si>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</si>
  <si>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</si>
  <si>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</si>
  <si>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</si>
  <si>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For Central Share</t>
  </si>
  <si>
    <t>For State Share</t>
  </si>
  <si>
    <t xml:space="preserve">Cooking Cost Released                          </t>
  </si>
  <si>
    <t>Central Share</t>
  </si>
  <si>
    <t>Status of Releasing of Funds by the State / UT</t>
  </si>
  <si>
    <t>Date on which Block / Gram Panchyat / School / Cooking Agency received funds</t>
  </si>
  <si>
    <t>Directorate / Authority</t>
  </si>
  <si>
    <t xml:space="preserve">*Total </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</si>
  <si>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</si>
  <si>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</si>
  <si>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</si>
  <si>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</si>
  <si>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</si>
  <si>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</si>
  <si>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</si>
  <si>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</si>
  <si>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iii) Replacement/repair/maintenance of cooking device, utensils, etc.</t>
  </si>
  <si>
    <t>v) Capacity builidng of officials</t>
  </si>
  <si>
    <t>iii) Office expenditure</t>
  </si>
  <si>
    <t>vi) Publicity, Preparation of relevant manuals</t>
  </si>
  <si>
    <t xml:space="preserve">vii) External Monitoring &amp; Evaluation </t>
  </si>
  <si>
    <t>Total no of Cook-cum-helper</t>
  </si>
  <si>
    <t>Trust</t>
  </si>
  <si>
    <t>PRI / GP/ Urban Local Body</t>
  </si>
  <si>
    <t>GP - Gram Panchayat</t>
  </si>
  <si>
    <t>No. of children covered</t>
  </si>
  <si>
    <t>Kitchen-cum-store</t>
  </si>
  <si>
    <t>No. of meals to be served  (Col. 4 x Col. 5)</t>
  </si>
  <si>
    <t>Average No. of children availed MDM [Col. 8/Col. 9]</t>
  </si>
  <si>
    <t>Name of Distict</t>
  </si>
  <si>
    <t xml:space="preserve">No. of cooks engaged </t>
  </si>
  <si>
    <t>Central share</t>
  </si>
  <si>
    <t>State Share</t>
  </si>
  <si>
    <t>(Rs. in Lakhs)</t>
  </si>
  <si>
    <t>Table: AT-8A</t>
  </si>
  <si>
    <t xml:space="preserve">Table: AT-12 : Utilisation of Central assistance towards procurement of Kitchen Devices (Primary &amp; Upper Primary,Classes I-VIII) </t>
  </si>
  <si>
    <t>Total       (col. 8+9+  10+11)</t>
  </si>
  <si>
    <t>Total            (col 3+4 +5+6)</t>
  </si>
  <si>
    <t>Table: AT-4A: Enrolment vis-a-vis opted for MDM  (Upper Primary, Classes VI - VIII)</t>
  </si>
  <si>
    <t>Table: AT-6B</t>
  </si>
  <si>
    <t xml:space="preserve">No. of Cook-cum-helper approved by  PAB-MDM </t>
  </si>
  <si>
    <t xml:space="preserve">No. of CCH engaged by States/UTs </t>
  </si>
  <si>
    <t>kitchen cum store constructed through convergance</t>
  </si>
  <si>
    <t xml:space="preserve">Adhoc Grant (25%) </t>
  </si>
  <si>
    <t xml:space="preserve">(A) Recurring Assistance </t>
  </si>
  <si>
    <t xml:space="preserve">(B) Non-Recurring Assistance </t>
  </si>
  <si>
    <t xml:space="preserve">Tax per MT foodgrain, if any : </t>
  </si>
  <si>
    <t>(Govt+LB)</t>
  </si>
  <si>
    <t>GA</t>
  </si>
  <si>
    <t>Total(10+13-16)</t>
  </si>
  <si>
    <t xml:space="preserve">No. of schools </t>
  </si>
  <si>
    <t xml:space="preserve">Health Check -ups </t>
  </si>
  <si>
    <t>Name of  District</t>
  </si>
  <si>
    <t>S.no</t>
  </si>
  <si>
    <t>Madarsa/Maqtab</t>
  </si>
  <si>
    <t xml:space="preserve">Central Assistance Released by GOI </t>
  </si>
  <si>
    <t>(Rs. in Lakh)</t>
  </si>
  <si>
    <t>Management, Supervision, Training,  Internal Monitoring and External Monitoring</t>
  </si>
  <si>
    <t xml:space="preserve">Released by State Govt. if any </t>
  </si>
  <si>
    <t xml:space="preserve">Remarks </t>
  </si>
  <si>
    <t>Total (col. 3+4+5+6)</t>
  </si>
  <si>
    <t>Deworming tablets distributed</t>
  </si>
  <si>
    <t>Table AT - 8 :UTILIZATION OF CENTRAL ASSISTANCE TOWARDS HONORARIUM TO COOK-CUM-HELPERS (Primary classes I-V)</t>
  </si>
  <si>
    <t>Distribution of spectacles</t>
  </si>
  <si>
    <t>2012-13</t>
  </si>
  <si>
    <t>Table AT- 8A : UTILIZATION OF CENTRAL ASSISTANCE TOWARDS HONORARIUM TO COOK-CUM-HELPER (Upper Primary classes VI-VIII)</t>
  </si>
  <si>
    <t xml:space="preserve">If the cooking cost has been revised several times during the year, then all such costs should be indicated in separate rows and dates of their application in remarks column. </t>
  </si>
  <si>
    <t>Total (col. 3+4+5+6+7)</t>
  </si>
  <si>
    <t>Recurring Assistance</t>
  </si>
  <si>
    <t>Non-Recurring Assistance</t>
  </si>
  <si>
    <t>Payment of Pending Bills of previous year</t>
  </si>
  <si>
    <t xml:space="preserve">Pending bills of previous year </t>
  </si>
  <si>
    <t xml:space="preserve">Amount  </t>
  </si>
  <si>
    <t>Constructed with convergence</t>
  </si>
  <si>
    <t>Procured with convergence</t>
  </si>
  <si>
    <t>Academic Calendar (No. of Days)</t>
  </si>
  <si>
    <t>Anticipated No. of working days for NCLP schools</t>
  </si>
  <si>
    <t>Total No. of schools excluding newly opened school</t>
  </si>
  <si>
    <t>No. of Schools not having Kitchen-cum-store</t>
  </si>
  <si>
    <t>No. of children enrolled</t>
  </si>
  <si>
    <t>Recurring Asssitance</t>
  </si>
  <si>
    <t>Non Recurring Assistance</t>
  </si>
  <si>
    <t>Mandatory Table</t>
  </si>
  <si>
    <t>Mode of Payment (cash / cheque / e-transfer)</t>
  </si>
  <si>
    <t>Rs. In  Lakh</t>
  </si>
  <si>
    <t xml:space="preserve">  Unutilized Budget</t>
  </si>
  <si>
    <t>Gen.</t>
  </si>
  <si>
    <t>SC.</t>
  </si>
  <si>
    <t>ST.</t>
  </si>
  <si>
    <t>Rs. In lakh</t>
  </si>
  <si>
    <t>Gen</t>
  </si>
  <si>
    <t>2013-14</t>
  </si>
  <si>
    <t>Table: AT-3C</t>
  </si>
  <si>
    <t>Table: AT- 3</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</si>
  <si>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</si>
  <si>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</si>
  <si>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</si>
  <si>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</si>
  <si>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</si>
  <si>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</si>
  <si>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</si>
  <si>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</si>
  <si>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</si>
  <si>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</si>
  <si>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</si>
  <si>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</si>
  <si>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</si>
  <si>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</si>
  <si>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</si>
  <si>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Table-AT- 25</t>
  </si>
  <si>
    <t xml:space="preserve">Total Institutions </t>
  </si>
  <si>
    <t>No. of Inst. For which Monthly data entry completed</t>
  </si>
  <si>
    <t>Apr</t>
  </si>
  <si>
    <t>May</t>
  </si>
  <si>
    <t>Jun</t>
  </si>
  <si>
    <t>Jul</t>
  </si>
  <si>
    <t>Aug</t>
  </si>
  <si>
    <t>Sep</t>
  </si>
  <si>
    <t>Oct</t>
  </si>
  <si>
    <t>Nov</t>
  </si>
  <si>
    <t>Dec</t>
  </si>
  <si>
    <t xml:space="preserve">                                                                                                                                                                              </t>
  </si>
  <si>
    <t xml:space="preserve">Sl. </t>
  </si>
  <si>
    <t>Designation</t>
  </si>
  <si>
    <t>Working under MDMS</t>
  </si>
  <si>
    <t>State level</t>
  </si>
  <si>
    <t>District Level</t>
  </si>
  <si>
    <t>Block Level</t>
  </si>
  <si>
    <t>9</t>
  </si>
  <si>
    <t>10</t>
  </si>
  <si>
    <t>11</t>
  </si>
  <si>
    <t>Regular Employee</t>
  </si>
  <si>
    <t>Contractual/Part time employee</t>
  </si>
  <si>
    <t xml:space="preserve">District </t>
  </si>
  <si>
    <t xml:space="preserve">Action Taken by State Govt. </t>
  </si>
  <si>
    <t>Gender</t>
  </si>
  <si>
    <t>Caste</t>
  </si>
  <si>
    <t>community</t>
  </si>
  <si>
    <t>Serving by disadvantaged section</t>
  </si>
  <si>
    <t>Sitting Arrangement</t>
  </si>
  <si>
    <t>Physical details</t>
  </si>
  <si>
    <t>Financial details (Rs. in Lakh)</t>
  </si>
  <si>
    <t>No. of Institutions covered</t>
  </si>
  <si>
    <t>No. of CCH engaged at Cent. kitchen</t>
  </si>
  <si>
    <t>No. of CCH engaged at schools covered by centralised kitchen</t>
  </si>
  <si>
    <t xml:space="preserve">Honorarium paid to cooks working at centralized kitchen </t>
  </si>
  <si>
    <t>Honorarium paid to CCH at schools  covered by centralised kitchen</t>
  </si>
  <si>
    <t>Total honorarium paid  (col 9 + 10)</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</si>
  <si>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</si>
  <si>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</si>
  <si>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</si>
  <si>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</si>
  <si>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</si>
  <si>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</si>
  <si>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</si>
  <si>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</si>
  <si>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</si>
  <si>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</si>
  <si>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</si>
  <si>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</si>
  <si>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</si>
  <si>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</si>
  <si>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</si>
  <si>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</si>
  <si>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</si>
  <si>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</si>
  <si>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</si>
  <si>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</si>
  <si>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</si>
  <si>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</si>
  <si>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</si>
  <si>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</si>
  <si>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</si>
  <si>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</si>
  <si>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</si>
  <si>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Category of Complaints</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</si>
  <si>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</si>
  <si>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</si>
  <si>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</si>
  <si>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</si>
  <si>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</si>
  <si>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</si>
  <si>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</si>
  <si>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</si>
  <si>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</si>
  <si>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</si>
  <si>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</si>
  <si>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</si>
  <si>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</si>
  <si>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</si>
  <si>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</si>
  <si>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</si>
  <si>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</si>
  <si>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</si>
  <si>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</si>
  <si>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</si>
  <si>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Free of cost</t>
  </si>
  <si>
    <t>As per requirement</t>
  </si>
  <si>
    <t>Salary of State Staff</t>
  </si>
  <si>
    <t>Almora</t>
  </si>
  <si>
    <t>Bageshwar</t>
  </si>
  <si>
    <t>Chamoli</t>
  </si>
  <si>
    <t>Champawat</t>
  </si>
  <si>
    <t>Dehradun</t>
  </si>
  <si>
    <t>Haridwar</t>
  </si>
  <si>
    <t>Nainital</t>
  </si>
  <si>
    <t>Pauri</t>
  </si>
  <si>
    <t>Pithoragarh</t>
  </si>
  <si>
    <t>Rudraprayag</t>
  </si>
  <si>
    <t>Tehri</t>
  </si>
  <si>
    <t>USNagar</t>
  </si>
  <si>
    <t>Uttarkashi</t>
  </si>
  <si>
    <t>NA</t>
  </si>
  <si>
    <t>NIL</t>
  </si>
  <si>
    <t>Total (8+11-14)</t>
  </si>
  <si>
    <t>Central Share (8+11-14)</t>
  </si>
  <si>
    <t>Total (10+13-16)</t>
  </si>
  <si>
    <t>Uttarakhand</t>
  </si>
  <si>
    <t>Rs. In Lacs</t>
  </si>
  <si>
    <t>S.No</t>
  </si>
  <si>
    <t>Head</t>
  </si>
  <si>
    <t>Level</t>
  </si>
  <si>
    <t>Central Assistance</t>
  </si>
  <si>
    <t>State Assistance</t>
  </si>
  <si>
    <t>Remark</t>
  </si>
  <si>
    <t>Cooking Assistance</t>
  </si>
  <si>
    <t>Kitchen cum Store</t>
  </si>
  <si>
    <t>GOI</t>
  </si>
  <si>
    <t>Transportation (food grains) Subsidy</t>
  </si>
  <si>
    <t>PS</t>
  </si>
  <si>
    <t>1.8% of Cooking Assistance,Transportation Subsidy , Honorarium of cooks &amp; cost of foodgrains.</t>
  </si>
  <si>
    <t>UPS</t>
  </si>
  <si>
    <t>Rs 1000 per month, 75:25, Rs 500 additional by State Govt.</t>
  </si>
  <si>
    <t>Cost of Foodgrains</t>
  </si>
  <si>
    <t>Salary Staff</t>
  </si>
  <si>
    <t>NCLP  children</t>
  </si>
  <si>
    <t>PS - 20218</t>
  </si>
  <si>
    <t>UPS - 10237</t>
  </si>
  <si>
    <t>PS+UPS - 0</t>
  </si>
  <si>
    <t>PS - 11437.73 MT</t>
  </si>
  <si>
    <t>UPS- 11839.43 MT</t>
  </si>
  <si>
    <t xml:space="preserve">  @ 5650 per MT+VAT@5%</t>
  </si>
  <si>
    <t>Govt. Staff only</t>
  </si>
  <si>
    <t>No Requirement for 2013-14</t>
  </si>
  <si>
    <t>Annual workplan and Budget proposal by State for 2013-14 MDM</t>
  </si>
  <si>
    <t xml:space="preserve">       @3.34Per child/day,75:25 (2.50+0.84)</t>
  </si>
  <si>
    <t xml:space="preserve">             @5.00Per child/day, 75:25 (3.75+1.25)</t>
  </si>
  <si>
    <t>Salary MDM Staff</t>
  </si>
  <si>
    <t>Cooking Assistance(gas)</t>
  </si>
  <si>
    <t>PS-(3987)</t>
  </si>
  <si>
    <t>Additional Cost of LPG over subsidy</t>
  </si>
  <si>
    <t>UPS-(921)</t>
  </si>
  <si>
    <t>Joint Director-01</t>
  </si>
  <si>
    <t>Field Investigator-02</t>
  </si>
  <si>
    <t>Steno/Accountant-01</t>
  </si>
  <si>
    <t>Computer Operator/Senior Clerk-01</t>
  </si>
  <si>
    <t>Coordinator-02</t>
  </si>
  <si>
    <t>Assistant Accountant-01</t>
  </si>
  <si>
    <t>Auditor-01</t>
  </si>
  <si>
    <t>Computer Operator-01</t>
  </si>
  <si>
    <t>MIS Coordinator</t>
  </si>
  <si>
    <t>Additional MME Plan Submitted to GOI</t>
  </si>
  <si>
    <t>Yes-State Project Office-SSA</t>
  </si>
  <si>
    <t>Yes-Education Department</t>
  </si>
  <si>
    <t>State Project Director-SSA</t>
  </si>
  <si>
    <t>Block Education Officer</t>
  </si>
  <si>
    <t>-</t>
  </si>
  <si>
    <t>Yes- From State Information Department</t>
  </si>
  <si>
    <t>Yes- Through Post</t>
  </si>
  <si>
    <t>State / UT: UTTARAKHAND</t>
  </si>
  <si>
    <t>Honorarium of cooks</t>
  </si>
  <si>
    <t>PS (501983 children)</t>
  </si>
  <si>
    <t>UPS (337774 children)</t>
  </si>
  <si>
    <t>District (Yes/No) Give details</t>
  </si>
  <si>
    <t xml:space="preserve">Total no. of NGOs covering &gt; 20000 children </t>
  </si>
  <si>
    <t xml:space="preserve">Total no. of cent. kitchen </t>
  </si>
  <si>
    <t>PS + UPS (7090+809)</t>
  </si>
  <si>
    <t>No. of school days 246, NCLP 315 days</t>
  </si>
  <si>
    <t>2014-15</t>
  </si>
  <si>
    <t>Table: AT-19</t>
  </si>
  <si>
    <t>2006-07</t>
  </si>
  <si>
    <t>2007-08</t>
  </si>
  <si>
    <t>2008-09</t>
  </si>
  <si>
    <t>No. of Institution for which Annual data entry completed</t>
  </si>
  <si>
    <t>Districts Releases funds under heads Cooking Cost, Honorarium of Cooks, MME directly to SMC Accounts within 10 days of receiving from State Level.</t>
  </si>
  <si>
    <r>
      <t>Financial         (</t>
    </r>
    <r>
      <rPr>
        <b/>
        <i/>
        <sz val="10"/>
        <rFont val="Arial"/>
        <family val="2"/>
      </rPr>
      <t>Rs. in lakh)</t>
    </r>
  </si>
  <si>
    <r>
      <t>Financial        (</t>
    </r>
    <r>
      <rPr>
        <b/>
        <i/>
        <sz val="10"/>
        <rFont val="Arial"/>
        <family val="2"/>
      </rPr>
      <t>Rs. in lakh)</t>
    </r>
  </si>
  <si>
    <t>2015-16</t>
  </si>
  <si>
    <t>1. A - Honorarium to Cook cum helpers (per month):</t>
  </si>
  <si>
    <t>Cnetre Share</t>
  </si>
  <si>
    <t>2. a.</t>
  </si>
  <si>
    <t>Additional Food Items (per child)</t>
  </si>
  <si>
    <t>Name of food items</t>
  </si>
  <si>
    <t>Quantity</t>
  </si>
  <si>
    <t>Cost (in Rs.)</t>
  </si>
  <si>
    <t>Frequency</t>
  </si>
  <si>
    <t>Gen. Col. 3-Col.15</t>
  </si>
  <si>
    <t>SC.  Col. 4-Col.16</t>
  </si>
  <si>
    <t>ST.  Col. 5-Col.17</t>
  </si>
  <si>
    <t>Total Col. 19+Col.20+Col.21</t>
  </si>
  <si>
    <t>Special Training Centers</t>
  </si>
  <si>
    <t>Total            (col 3+ 4+5+6)</t>
  </si>
  <si>
    <t>Total       (col. 8+9+ 10+11)</t>
  </si>
  <si>
    <t>Total       (col. 8+9+10+11)</t>
  </si>
  <si>
    <t>Total       (col.13+14+15+16)</t>
  </si>
  <si>
    <t>Table: AT-5 B</t>
  </si>
  <si>
    <t>Table: AT-5 C</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</si>
  <si>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</si>
  <si>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t>Table: AT-5 D</t>
  </si>
  <si>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</si>
  <si>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Including Drought also, if applicable</t>
  </si>
  <si>
    <t>Table: AT-6C</t>
  </si>
  <si>
    <t>**State Share</t>
  </si>
  <si>
    <t>**state share includes funds as well as monetary value of the commodities supplied by the State/UT</t>
  </si>
  <si>
    <t>**State</t>
  </si>
  <si>
    <t>** state share includes funds as well as monetary value of the commodities supplied by the State/UT</t>
  </si>
  <si>
    <t>No. of CCH having bank account</t>
  </si>
  <si>
    <t>No. of CCH recieving honorarium through Bank Account</t>
  </si>
  <si>
    <t>Rate  of Transportation Assistance (Per MT)</t>
  </si>
  <si>
    <t xml:space="preserve">Table: AT-11 : Sanction and Utilisation of Central assistance towards construction of Kitchen-cum-store (Primary &amp; Upper Primary,Classes I-VIII) </t>
  </si>
  <si>
    <t>Total sanctioned</t>
  </si>
  <si>
    <t>2009-10</t>
  </si>
  <si>
    <t>2010-11</t>
  </si>
  <si>
    <t>2011-12</t>
  </si>
  <si>
    <t xml:space="preserve">Table: AT-12 A : Sanction and Utilisation of Central assistance towards procurement of Kitchen Devices (Replacement) </t>
  </si>
  <si>
    <t>*Coarse Grains</t>
  </si>
  <si>
    <t>PAB Approval for CCH</t>
  </si>
  <si>
    <t>*No. of additional cooks required over and above PAB Approval</t>
  </si>
  <si>
    <t>Table: AT-18 : Formation of School Management Committee (SMC) at School Level for Monitoring the Scheme</t>
  </si>
  <si>
    <t>No. of Primary Institutions</t>
  </si>
  <si>
    <t>No. of SMCs formed</t>
  </si>
  <si>
    <t>No. of Schools monitored by SMCs</t>
  </si>
  <si>
    <t>No. of Upper Primary Institutions</t>
  </si>
  <si>
    <t>Table: AT-19 : Responsibility of Implementation</t>
  </si>
  <si>
    <t>No. of institution covered</t>
  </si>
  <si>
    <t>Name of NGO</t>
  </si>
  <si>
    <t>No. of Kitchens</t>
  </si>
  <si>
    <t>Name of Trust</t>
  </si>
  <si>
    <t>No. of schools covered under RBSK</t>
  </si>
  <si>
    <t>No. of children covered under RBSK</t>
  </si>
  <si>
    <t>Weekly Iron &amp; Folic Acid Supplementation (WIFS)</t>
  </si>
  <si>
    <t xml:space="preserve">Name of Organization/ Institute for conducting social audit </t>
  </si>
  <si>
    <t>No . of schools to be covered</t>
  </si>
  <si>
    <t>Status</t>
  </si>
  <si>
    <t>Action Taken by State Govt. on findings</t>
  </si>
  <si>
    <t>Total Exp.     (in Rs)</t>
  </si>
  <si>
    <t>Completed (Yes/ No)</t>
  </si>
  <si>
    <t xml:space="preserve">In Progress (Training/ conduct at school/ public hearing)  </t>
  </si>
  <si>
    <t>Not yet started</t>
  </si>
  <si>
    <t>Number of complaints on discrimination on</t>
  </si>
  <si>
    <t xml:space="preserve">Source of information </t>
  </si>
  <si>
    <t xml:space="preserve">State functionaries </t>
  </si>
  <si>
    <t xml:space="preserve">Parent/Children/Community </t>
  </si>
  <si>
    <t xml:space="preserve">Media </t>
  </si>
  <si>
    <t>Social Audit Report</t>
  </si>
  <si>
    <t>LPG Reimbursement (Rs in Lakh)</t>
  </si>
  <si>
    <t>16</t>
  </si>
  <si>
    <t>17</t>
  </si>
  <si>
    <t>No. of IEC Activities</t>
  </si>
  <si>
    <t>Tools</t>
  </si>
  <si>
    <t>Expendituer Incurred (in Rs)</t>
  </si>
  <si>
    <t>District/ Block</t>
  </si>
  <si>
    <t>School</t>
  </si>
  <si>
    <t>Audio Video</t>
  </si>
  <si>
    <t>Print</t>
  </si>
  <si>
    <t>Traditional (Nukkad Natak, Folk Songs, Rallies, Others)</t>
  </si>
  <si>
    <t>No. of schools having hand washing facilities</t>
  </si>
  <si>
    <t>Type of hand washing facilities (number of schools)</t>
  </si>
  <si>
    <t>Multi tap</t>
  </si>
  <si>
    <t>Tap</t>
  </si>
  <si>
    <t>Hand pump</t>
  </si>
  <si>
    <t>Pond/ well/ Stream</t>
  </si>
  <si>
    <t>Teacher</t>
  </si>
  <si>
    <t>Community</t>
  </si>
  <si>
    <t>CCH</t>
  </si>
  <si>
    <t>Full meal in lieu of MDM</t>
  </si>
  <si>
    <t>Additional Food Item</t>
  </si>
  <si>
    <t xml:space="preserve">No. of schools received contribution </t>
  </si>
  <si>
    <t>Meals served</t>
  </si>
  <si>
    <t>Value
(In Rs)</t>
  </si>
  <si>
    <t>Children benefitted</t>
  </si>
  <si>
    <t>Name of the items</t>
  </si>
  <si>
    <t>In kind</t>
  </si>
  <si>
    <t>In any other form</t>
  </si>
  <si>
    <t>Reasons for Less payment Col. (7-9)</t>
  </si>
  <si>
    <t>Received</t>
  </si>
  <si>
    <t>Cooking Cost including LPG</t>
  </si>
  <si>
    <t>State / UT: Uttarakhand</t>
  </si>
  <si>
    <t>State/UT : Uttarakhand</t>
  </si>
  <si>
    <t>State (Yes/No) Give details</t>
  </si>
  <si>
    <t>District Education Officer(Elementary)</t>
  </si>
  <si>
    <t>Kitchen Devices (New)</t>
  </si>
  <si>
    <t>Kitchen Devices (Replacement)</t>
  </si>
  <si>
    <t>Cooking Assistance (gas)</t>
  </si>
  <si>
    <t>STC: RST/NRST/NCLP</t>
  </si>
  <si>
    <t>Note: SLSMC has decided not to construct KS in 1094 schools having enrollment less than 10.</t>
  </si>
  <si>
    <t>Rs in Lakhs</t>
  </si>
  <si>
    <t>Table: AT-11A</t>
  </si>
  <si>
    <t xml:space="preserve">Table: AT-11A : Utilisation of Central assistance towards construction of Kitchen-cum-store (Primary &amp; Upper Primary,Classes I-VIII) </t>
  </si>
  <si>
    <t>Rs 900.00</t>
  </si>
  <si>
    <t>Table: AT-10 A</t>
  </si>
  <si>
    <r>
      <t xml:space="preserve">State/UT: </t>
    </r>
    <r>
      <rPr>
        <b/>
        <u/>
        <sz val="10"/>
        <rFont val="Arial"/>
        <family val="2"/>
      </rPr>
      <t>____________________</t>
    </r>
  </si>
  <si>
    <t xml:space="preserve">Number of </t>
  </si>
  <si>
    <t>Meetings of District level committee headed by the senior most Member of Parliament of Loksabha</t>
  </si>
  <si>
    <t>Meetings of District Steering cum Monitoring committee headed by District Megistrate</t>
  </si>
  <si>
    <t>Schools inspected by Govt. officials</t>
  </si>
  <si>
    <t>12*</t>
  </si>
  <si>
    <t>Date:______________</t>
  </si>
  <si>
    <t xml:space="preserve">State / UT: </t>
  </si>
  <si>
    <t xml:space="preserve">Name of the Accredited / Recognised lab engaged for testing </t>
  </si>
  <si>
    <t xml:space="preserve">Number of samples </t>
  </si>
  <si>
    <t>Result (No. of samples)</t>
  </si>
  <si>
    <t xml:space="preserve">Collected </t>
  </si>
  <si>
    <t>Tested</t>
  </si>
  <si>
    <t>Meeting norms</t>
  </si>
  <si>
    <t>Below norms</t>
  </si>
  <si>
    <t>.</t>
  </si>
  <si>
    <t>Date:___________________</t>
  </si>
  <si>
    <t>2016-17</t>
  </si>
  <si>
    <t xml:space="preserve">NOTE:- * District U.S Nagar MIS Coordinator has Resigned </t>
  </si>
  <si>
    <t>Government/UT Administration of _______________</t>
  </si>
  <si>
    <t>Date:_____________</t>
  </si>
  <si>
    <t xml:space="preserve">(Govt+LB)
Schools </t>
  </si>
  <si>
    <t>Date:________________</t>
  </si>
  <si>
    <t xml:space="preserve">Seal:                      </t>
  </si>
  <si>
    <t>Date:_______________</t>
  </si>
  <si>
    <t>Government/UT Administration of ____________</t>
  </si>
  <si>
    <t>Table: AT-12A</t>
  </si>
  <si>
    <t>Government/UT Administration of _____________</t>
  </si>
  <si>
    <t>Fire wood</t>
  </si>
  <si>
    <t>Solar cooker</t>
  </si>
  <si>
    <t xml:space="preserve">LPG </t>
  </si>
  <si>
    <t>Mode of cooking (No. of Schools)</t>
  </si>
  <si>
    <t>Total no. of Institutions</t>
  </si>
  <si>
    <t xml:space="preserve">Meals not served </t>
  </si>
  <si>
    <t>Whether allowance is paid to children</t>
  </si>
  <si>
    <t xml:space="preserve">Number of institutions </t>
  </si>
  <si>
    <t>No. of working days</t>
  </si>
  <si>
    <t xml:space="preserve">Number of children </t>
  </si>
  <si>
    <t xml:space="preserve">                      (Signature)</t>
  </si>
  <si>
    <t xml:space="preserve">                       Seal:</t>
  </si>
  <si>
    <t xml:space="preserve">           Seal:</t>
  </si>
  <si>
    <t xml:space="preserve"> Government/UT Administration of _________</t>
  </si>
  <si>
    <t>PS+UPS-(0)</t>
  </si>
  <si>
    <t>Additional Honorarium of cooks</t>
  </si>
  <si>
    <t>State Govt. is Paying Rs. 1000 as an incentive to all cooks under MID day meal Scheme.</t>
  </si>
  <si>
    <t>Incentive of cooks</t>
  </si>
  <si>
    <t>PS+UPS</t>
  </si>
  <si>
    <t>Recived in state Govt. Account through Bank Challan</t>
  </si>
  <si>
    <t>Gunny bags (Khali Bore)</t>
  </si>
  <si>
    <t>e-transfer</t>
  </si>
  <si>
    <t>PS+UPS - (0)</t>
  </si>
  <si>
    <t>2017-18</t>
  </si>
  <si>
    <t>Table: AT-2A</t>
  </si>
  <si>
    <t>Rs. 1100.00</t>
  </si>
  <si>
    <t>Rs. 2000.00</t>
  </si>
  <si>
    <t>Table - AT - 10B</t>
  </si>
  <si>
    <t>Table AT -10 C :Details of IEC Activities</t>
  </si>
  <si>
    <t>Table: AT- 10 C</t>
  </si>
  <si>
    <t>Table - AT - 10 C</t>
  </si>
  <si>
    <t>Table: AT-10D Manpower dedicated for MDMS</t>
  </si>
  <si>
    <t>Table AT- 13: Details of mode of cooking</t>
  </si>
  <si>
    <t>Table AT-13</t>
  </si>
  <si>
    <t>Table AT -14 : Quality, Safety and Hygiene</t>
  </si>
  <si>
    <t>Table: AT- 14</t>
  </si>
  <si>
    <t>Parents</t>
  </si>
  <si>
    <t>Tasting of food (number of schools)</t>
  </si>
  <si>
    <t>No. of schools having parents roaster</t>
  </si>
  <si>
    <t>No. of schools having tasting register</t>
  </si>
  <si>
    <t>Table: AT- 14 A</t>
  </si>
  <si>
    <t>Table: AT- 15</t>
  </si>
  <si>
    <t>Table AT -15 : Contribution by community in form of  Tithi Bhojan or any other similar practice</t>
  </si>
  <si>
    <t>Table: AT- 16</t>
  </si>
  <si>
    <t>Table - AT - 21</t>
  </si>
  <si>
    <t>Total (col 6+7)*</t>
  </si>
  <si>
    <t>* Total number of cook-cum-helper can not exceed the norms for engagement of cook-cum-helper</t>
  </si>
  <si>
    <t>Table: AT- 22</t>
  </si>
  <si>
    <t>Table AT -22 :Information on NGOs covering more than 20000 children</t>
  </si>
  <si>
    <t>Table-AT- 23</t>
  </si>
  <si>
    <t>Table AT - 24 : Details of discrimination of any kind in MDMS</t>
  </si>
  <si>
    <t>Table - AT - 24</t>
  </si>
  <si>
    <t>Table: AT- 25</t>
  </si>
  <si>
    <t>Table AT- 25: Details of Grievance Redressal cell</t>
  </si>
  <si>
    <t>Table: AT-26</t>
  </si>
  <si>
    <t>Table: AT-26 A</t>
  </si>
  <si>
    <t>Proposed number of children</t>
  </si>
  <si>
    <t>Table: AT-27</t>
  </si>
  <si>
    <t>Table: AT-27A</t>
  </si>
  <si>
    <t>Table: AT-27 B</t>
  </si>
  <si>
    <t>Table: AT-27 C</t>
  </si>
  <si>
    <t>Table: AT-28</t>
  </si>
  <si>
    <t xml:space="preserve">Table: AT-28 A </t>
  </si>
  <si>
    <t>Note: State may indicate their plinth area and size of the kitchen-cum-store if theiy have any other other plinth area than mentioned in the table</t>
  </si>
  <si>
    <t>Table: AT-29</t>
  </si>
  <si>
    <t>Table: AT-30</t>
  </si>
  <si>
    <t>Table: AT-31</t>
  </si>
  <si>
    <t>Table: AT-20 : Information on Cooking Agencies (Centralised Kitchen)</t>
  </si>
  <si>
    <t>Name of SHG</t>
  </si>
  <si>
    <t>No. of Institution covered</t>
  </si>
  <si>
    <t>Table-AT- 23 A</t>
  </si>
  <si>
    <t>No. of Institution for which daily data transferred to central server</t>
  </si>
  <si>
    <t xml:space="preserve">Table: AT-20 </t>
  </si>
  <si>
    <t>week</t>
  </si>
  <si>
    <t>EGG/Fruits/Milk/gudpapdi/ramdana ke ladu, etc</t>
  </si>
  <si>
    <t>PUNJAB BIOTECHNOLOGY INCUBATOR</t>
  </si>
  <si>
    <t xml:space="preserve">Procured (C) </t>
  </si>
  <si>
    <t>Rs 1000 per month, 90:10, Rs 1000 additional by State Govt.</t>
  </si>
  <si>
    <t>State Govt. is Paying additional Honorarium Rs.2000 to all cooks under MID day meal scheme</t>
  </si>
  <si>
    <t>Table AT -16 : Interuptions in serving of MDM and MDM allowance paid to children</t>
  </si>
  <si>
    <t>SMC/VEC / WEC</t>
  </si>
  <si>
    <t>Table AT 21 :Details of engagement and apportionment of honorarium to cook cum helpers (CCH) between schools and centralized kitchen.</t>
  </si>
  <si>
    <t xml:space="preserve">Note: </t>
  </si>
  <si>
    <t xml:space="preserve">*Central Assistance Received from GoI </t>
  </si>
  <si>
    <t xml:space="preserve">* Expenditure           </t>
  </si>
  <si>
    <t>Atirikit Poshan</t>
  </si>
  <si>
    <t>Cooks uniform</t>
  </si>
  <si>
    <t>State Govt. is Paying additional uniform, Rs 1000 to all cooks under MID day meal Scheme</t>
  </si>
  <si>
    <t>State Govt. is Paying additional fooditem Rs 5 to all children covered under MID day meal Scheme</t>
  </si>
  <si>
    <t>i) Hiring charges of manpower at various levels/salary</t>
  </si>
  <si>
    <t>Central Share 
(6+9-12)</t>
  </si>
  <si>
    <t xml:space="preserve"> **State Share (7+10-13) </t>
  </si>
  <si>
    <t>Central             (6+9-12)</t>
  </si>
  <si>
    <t xml:space="preserve">**State (7+10-13) </t>
  </si>
  <si>
    <t>State Share (9+12-15)</t>
  </si>
  <si>
    <t>State Share(9+12-15)</t>
  </si>
  <si>
    <t>Central share(8+11-14)</t>
  </si>
  <si>
    <t>Note:</t>
  </si>
  <si>
    <t xml:space="preserve">* Bills raised by FCI </t>
  </si>
  <si>
    <t>Table AT -14 A : Testing of Food Samples by accredited labs</t>
  </si>
  <si>
    <t>#Central Share</t>
  </si>
  <si>
    <t>#Centre</t>
  </si>
  <si>
    <t xml:space="preserve">There are some local festivals and fairs held in various districts wherein dissemination of information is made with respect to Mid Day Meal Programme to create awarness amongst masses and ensure community participation to make this scheme successful.
</t>
  </si>
  <si>
    <t xml:space="preserve">Note:  Parents tasting meals in schools are mentioned in food tasting register; no separate parents roster register is been maintained. </t>
  </si>
  <si>
    <t>2018-19</t>
  </si>
  <si>
    <t>Average number of children Availing MDM</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</si>
  <si>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</si>
  <si>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</si>
  <si>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</si>
  <si>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</si>
  <si>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</si>
  <si>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</si>
  <si>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</si>
  <si>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AT-5 D:  PAB-MDM Approval vs. PERFORMANCE (Upper Primary, Classes VI to VIII) during 2017-18 - Drought</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</si>
  <si>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</si>
  <si>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</si>
  <si>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</si>
  <si>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</si>
  <si>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</si>
  <si>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</si>
  <si>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Foodgrains provided to children (In MT)</t>
  </si>
  <si>
    <t>Amount paid to children (in Rs)</t>
  </si>
  <si>
    <t xml:space="preserve">Average number of children Availing MDM </t>
  </si>
  <si>
    <t>Residential/Self Management-4</t>
  </si>
  <si>
    <t>Self Management-6</t>
  </si>
  <si>
    <t>Residential/Self Management-6</t>
  </si>
  <si>
    <t>Yes</t>
  </si>
  <si>
    <t xml:space="preserve">Closing Balance*                  (col.4+5-6)                         </t>
  </si>
  <si>
    <t xml:space="preserve">Closing Balance* (col.9+10-11)                         </t>
  </si>
  <si>
    <t>*Total Sanction during 2011-12, to 2017-18</t>
  </si>
  <si>
    <t>Resolved</t>
  </si>
  <si>
    <t>1 Resolved</t>
  </si>
  <si>
    <t>mdmcell.uttarakhand@gmail.com
mdmcell.uttarakhand2@gmail.com</t>
  </si>
  <si>
    <t>TOTAL</t>
  </si>
  <si>
    <t>Pulse 4
(name)</t>
  </si>
  <si>
    <t>Pulse 5
(name)</t>
  </si>
  <si>
    <t>Pulse 2
(name)</t>
  </si>
  <si>
    <t>Pulse 3
(name)</t>
  </si>
  <si>
    <t>Pulse 1
(name)</t>
  </si>
  <si>
    <t>Requirement of Pulses (in MTs)</t>
  </si>
  <si>
    <t>yy</t>
  </si>
  <si>
    <t>Maximum number of Institutions for which daily data transferred during the month</t>
  </si>
  <si>
    <t>Annual workplan and Budget proposal by State for 2018-19 MDM</t>
  </si>
  <si>
    <t>District :</t>
  </si>
  <si>
    <t>Foodgrains</t>
  </si>
  <si>
    <t xml:space="preserve">Hon. to cook-cum-helpers </t>
  </si>
  <si>
    <t>Allocation</t>
  </si>
  <si>
    <t>Utilisation</t>
  </si>
  <si>
    <t>Allocation (Centre +State)</t>
  </si>
  <si>
    <t>Utilisation (Centre +State)</t>
  </si>
  <si>
    <t>Secretary of the Nodal Department</t>
  </si>
  <si>
    <t>Table: AT-32A</t>
  </si>
  <si>
    <t>Table: AT-32</t>
  </si>
  <si>
    <t>Jan</t>
  </si>
  <si>
    <t>Feb</t>
  </si>
  <si>
    <t>Mar</t>
  </si>
  <si>
    <t>Table: AT- 10 F</t>
  </si>
  <si>
    <t>Pulse 1
(Masoor Daal)</t>
  </si>
  <si>
    <t>Pulse 2
(Chana Daal)</t>
  </si>
  <si>
    <t>Pulse 3
(Arhar Daal)</t>
  </si>
  <si>
    <t>Incentive for cook cum helper (only state share)</t>
  </si>
  <si>
    <t>Final Instalment</t>
  </si>
  <si>
    <t>State share Adhoc</t>
  </si>
  <si>
    <t>State share Ist Instalment</t>
  </si>
  <si>
    <t>State share Final Instalment</t>
  </si>
  <si>
    <t>Physical           [col. 3-col.5-col.7] *</t>
  </si>
  <si>
    <t>Kheer, Banana, Sweets, Cake, Patties, Samosa, Pakori, Chai, Coffee, Pastries, Biscuits, Namkeens, Halwa, Chana, Frooti,
 Laddu, 
Apple, Chocolate, Chips, Toffee, Fruits</t>
  </si>
  <si>
    <t>628 Kitchen by SSA</t>
  </si>
  <si>
    <t xml:space="preserve">  @ 3000 per MT+Mandi tax@2.5%</t>
  </si>
  <si>
    <t xml:space="preserve">  @ 3000 per MT+VAT@2.5%</t>
  </si>
  <si>
    <t>Performance during 2018-19</t>
  </si>
  <si>
    <t>2019-20</t>
  </si>
  <si>
    <t>Annual Work Plan and Budget 2019-20</t>
  </si>
  <si>
    <t>Table: AT-1: GENERAL INFORMATION for 2018-19</t>
  </si>
  <si>
    <t>Table AT-3: No. of Institutions in the State vis a vis Institutions serving MDM during 2018-19</t>
  </si>
  <si>
    <t>During 01.04.18 to 31.3.19</t>
  </si>
  <si>
    <t>Table: AT-3A: No. of Institutions covered  (Primary, Classes I-V)  during 2018-19</t>
  </si>
  <si>
    <t>Table: AT-3B: No. of Institutions covered (Upper Primary with Primary, Classes I-VIII) during 2018-19</t>
  </si>
  <si>
    <t>Table: AT-3C: No. of Institutions covered (Upper Primary without Primary, Classes VI-VIII) during 2018-19</t>
  </si>
  <si>
    <t>During 01.04.18 to 31.03.19</t>
  </si>
  <si>
    <t>Table: AT-4: Enrolment vis-à-vis opted for MDM  (Primary,Classes I- V) during 2018-19</t>
  </si>
  <si>
    <t>Enrolment (As on 30.09.2018)</t>
  </si>
  <si>
    <t>Total Enrolment (As on 30.09.2018)</t>
  </si>
  <si>
    <t>Table: AT-5:  MDM-PAB Approval vs. PERFORMANCE (Primary, Classes I - V) during 2018-19</t>
  </si>
  <si>
    <t>Table: AT-5A:  MDM-PAB Approval vs. PERFORMANCE (Upper Primary, Classes VI to VIII) during 2018-19</t>
  </si>
  <si>
    <t>(For the Period 01.4.18 to 31.03.19)</t>
  </si>
  <si>
    <t>MDM-PAB Approval for 2018-19</t>
  </si>
  <si>
    <t xml:space="preserve">No. of working days (During 1.4.18-31.12.18                             </t>
  </si>
  <si>
    <t>Table: AT-5 B:  PAB-MDM Approval vs. PERFORMANCE- STC (NCLP Schools) during 2018-19</t>
  </si>
  <si>
    <t>Table: AT-5 C:  PAB-MDM Approval vs. PERFORMANCE (Primary, Classes I - V) during 2018-19 - Drought</t>
  </si>
  <si>
    <t>Table: AT-6: Utilisation of foodgrains*  (Primary, Classes I-V) during 2018-19</t>
  </si>
  <si>
    <t>Gross Allocation for the  FY 2018-19</t>
  </si>
  <si>
    <t>Opening Balance as on 01.04.18</t>
  </si>
  <si>
    <t>Table: AT-6C: Utilisation of foodgrains-Coarse Grain during 2018-19</t>
  </si>
  <si>
    <t>Proposed to be engaged for the year 2019-20</t>
  </si>
  <si>
    <t>Table: AT- 23: Annual and  Monthly Data Entry Status in MDM-MIS : 2018-19</t>
  </si>
  <si>
    <t>During 01.04.18 to 31.03.2019</t>
  </si>
  <si>
    <t>Schools Merged- 182</t>
  </si>
  <si>
    <t>No Enrollment- 662</t>
  </si>
  <si>
    <t>Schools Merged- 10</t>
  </si>
  <si>
    <t>No Enrollment- 128</t>
  </si>
  <si>
    <t>UPS- 144</t>
  </si>
  <si>
    <t>PS - 848</t>
  </si>
  <si>
    <t>Table: AT- 23A: Implementation of Automated Monitoring System during 2018-19</t>
  </si>
  <si>
    <t>Kitchen-cum-store sanctioned during 2006-07 to 2018-19</t>
  </si>
  <si>
    <t>Table: AT-28 A: Requirement of kitchen cum stores as per Plinth Area Norm in the Primary and Upper Primary schools for the year 2019-20</t>
  </si>
  <si>
    <t>Table: AT-28: Requirement of kitchen-cum-stores in the Primary and Upper Primary schools for the year 2019-20</t>
  </si>
  <si>
    <t>Table: AT-27D: Proposal for coverage of children and working day for Upper primary (classes VI-VIII)  in Drought affacted area during 2019-20</t>
  </si>
  <si>
    <t>Table: AT-27C: Proposal for coverage of children and working day for primary (classes I-V)  in Drought affacted area during 2019-20</t>
  </si>
  <si>
    <t>Table: AT-27B: Proposal for coverage of children  for NCLP Schools during 2019-20</t>
  </si>
  <si>
    <t>Table: AT-27A: Proposal for coverage of children and working days  for 2019-20  (Upper Primary,Classes VI-VIII)</t>
  </si>
  <si>
    <t>Table: AT-27: Proposal for coverage of children and working days  for 2019-20  (Primary Classes, I-V)</t>
  </si>
  <si>
    <t>Table: AT-26A : Number of School Working Days (Upper Primary,Classes VI-VIII) for 2019-20</t>
  </si>
  <si>
    <t>Table: AT-26 : Number of School Working Days (Primary,Classes I-V) for 2019-20</t>
  </si>
  <si>
    <t>Table: AT 30:    Requirement of Cook cum Helpers for 2019-20</t>
  </si>
  <si>
    <t>Engaged  in 2018-19</t>
  </si>
  <si>
    <t>Table: AT-32:  PAB-MDM Approval vs. PERFORMANCE (Primary Classes I to V) during 2019-20 - Drought</t>
  </si>
  <si>
    <t>Table: AT-32 A:  PAB-MDM Approval vs. PERFORMANCE (Upper Primary, Classes VI to VIII) during 2019-20 - Drought</t>
  </si>
  <si>
    <t>Released by State Govt. if any</t>
  </si>
  <si>
    <t>Name of the Krishi Vigyan Kendra (KVK)</t>
  </si>
  <si>
    <t>Covered through centralised kitchen</t>
  </si>
  <si>
    <t>Temple, Gurudwara, Jail etc (Pls Specify)</t>
  </si>
  <si>
    <t>Requirement of funds for Transportation Assistance</t>
  </si>
  <si>
    <t>PDS rate (Rs per Quintal)</t>
  </si>
  <si>
    <t>Total Funds required (Rs in lakh)</t>
  </si>
  <si>
    <t>Table: AT-28 B</t>
  </si>
  <si>
    <t>Table: AT-28 B: Repair of kitchen cum stores constructed ten years ago</t>
  </si>
  <si>
    <t>State/UT :</t>
  </si>
  <si>
    <t>No. of Kitchens constructed prior to FY 2008-09</t>
  </si>
  <si>
    <t>No. of Kitchens constructed prior to 2008-09 and require repairs</t>
  </si>
  <si>
    <t>Requirement of funds (Rs in lakh)</t>
  </si>
  <si>
    <t>Centre share</t>
  </si>
  <si>
    <t>State share</t>
  </si>
  <si>
    <t>Table: AT-29 : Requirement of Kitchen Devices (new) during 2019-20 in Primary &amp; Upper Primary Schools</t>
  </si>
  <si>
    <t>State / UT:</t>
  </si>
  <si>
    <t xml:space="preserve">Enrolment range 01-50 </t>
  </si>
  <si>
    <t xml:space="preserve">Enrolment range 51-150 </t>
  </si>
  <si>
    <t xml:space="preserve">Enrolment range 151-250 </t>
  </si>
  <si>
    <t xml:space="preserve">Enrolment range 251 &amp; Above </t>
  </si>
  <si>
    <t>No. of schools</t>
  </si>
  <si>
    <t>requirement of funds (Rs in lakh)</t>
  </si>
  <si>
    <t>Table: AT-29A</t>
  </si>
  <si>
    <t>Table: AT-29 A : Replacement of Kitchen Devices during 2019-20 in Primary &amp; Upper Primary Schools</t>
  </si>
  <si>
    <t>Repair of kitchen-cum-stores</t>
  </si>
  <si>
    <t>Flexi fund @ 5% for new interventions</t>
  </si>
  <si>
    <t>Table AT-10 F: Information on Training of Cook-cum-Helpers</t>
  </si>
  <si>
    <t>Total no.  of Cook-cum-Helpers engaged</t>
  </si>
  <si>
    <t xml:space="preserve">Total no. of Cook-cum-Helpers trained during the year </t>
  </si>
  <si>
    <t>No. of Master Trainers</t>
  </si>
  <si>
    <t>Duration of training</t>
  </si>
  <si>
    <t xml:space="preserve">Modules used in the training </t>
  </si>
  <si>
    <t>Name of Training Agency</t>
  </si>
  <si>
    <t>Table: AT-7: Utilisation of Cooking Cost* (Primary, Classes I-V) during 2018-19</t>
  </si>
  <si>
    <t xml:space="preserve">Total Unspent Balance as on 31.03.2019   </t>
  </si>
  <si>
    <t xml:space="preserve">Opening Balance as on 01.04.2018                                                  </t>
  </si>
  <si>
    <t xml:space="preserve">Allocation for 2018-19                                       </t>
  </si>
  <si>
    <t xml:space="preserve">Opening Balance as on 01.04.2018                                                   </t>
  </si>
  <si>
    <t xml:space="preserve">Total Unspent Balance as on 31.03.2019                                                  </t>
  </si>
  <si>
    <t>(For the Period 01.04.18 to 31.03.19)</t>
  </si>
  <si>
    <t>Table: AT-7A: Utilisation of Cooking cost* (Upper Primary Classes, VI-VIII) for 2018-19</t>
  </si>
  <si>
    <t>Allocation for FY 2018-19</t>
  </si>
  <si>
    <t>Opening Balance as on 01.04.2018</t>
  </si>
  <si>
    <t>(For the Period 01.4.18 to 31.03.19</t>
  </si>
  <si>
    <t>Unspent Balance as on 31.03.19</t>
  </si>
  <si>
    <t>Allocation for the year 2018-19</t>
  </si>
  <si>
    <t>Table: AT-9 : Utilisation of Central Assitance towards Transportation Assistance (Primary &amp; Upper Primary,Classes I-VIII) during 2018-19</t>
  </si>
  <si>
    <t>Opening balance as on 01.04.18</t>
  </si>
  <si>
    <r>
      <t xml:space="preserve">Unspent Balance as on 31.03.18 [Col. 4+ Col.5-Col.8] </t>
    </r>
    <r>
      <rPr>
        <sz val="10"/>
        <rFont val="Arial"/>
        <family val="2"/>
      </rPr>
      <t xml:space="preserve"> </t>
    </r>
  </si>
  <si>
    <t>Table: AT-10 A : Details of Meetings at district level during 2018-19</t>
  </si>
  <si>
    <t>Table AT - 10 B : Details of Social Audit during 2018-19</t>
  </si>
  <si>
    <t>Mode of data collection (SMS/ IVRS/ Mobile App/ Web Application/ Others)</t>
  </si>
  <si>
    <t>Name of Agency implementing AMS in State/UT</t>
  </si>
  <si>
    <t>SMS, Mobile App, Web Application</t>
  </si>
  <si>
    <t>NIC Himanchal pardesh</t>
  </si>
  <si>
    <t>Haridwar, Pauri, Pithoragarh</t>
  </si>
  <si>
    <t xml:space="preserve"> 2 Resolved</t>
  </si>
  <si>
    <t>1 pending at district level</t>
  </si>
  <si>
    <t>Almora, Champawat, Dehradun</t>
  </si>
  <si>
    <t xml:space="preserve"> All 5 Resolved</t>
  </si>
  <si>
    <t>8 Resolved</t>
  </si>
  <si>
    <t>1 pending</t>
  </si>
  <si>
    <t>Table: AT-17 :Coverage under Rashtriya Bal Swasthya Karykram (School Health Programme) - 2018-19</t>
  </si>
  <si>
    <t>Table: AT-6A: Utilisation of foodgrains*  (Upper Primary, Classes VI-VIII) during 2018-19</t>
  </si>
  <si>
    <t>Annual workplan and Budget proposal by State for 2019-20 MDM</t>
  </si>
  <si>
    <t>(As per Average coverage 2018-2019)</t>
  </si>
  <si>
    <t>PS (334750 children)</t>
  </si>
  <si>
    <t>UPS (233156 children)</t>
  </si>
  <si>
    <t xml:space="preserve">       @4.35 Per child/day,90:10 (3.91+0.44)</t>
  </si>
  <si>
    <t xml:space="preserve">             @6.51 Per child/day, 90:10 (5.86+0.65)</t>
  </si>
  <si>
    <t>1) S.C.E.R.T. had 02 days training programme.
2) I.H.M. had 10 days training programme.</t>
  </si>
  <si>
    <t>S.C.E.R.T./ I.H.M</t>
  </si>
  <si>
    <r>
      <t>S.C.E.R.T./I.H.M. used a module (</t>
    </r>
    <r>
      <rPr>
        <sz val="14"/>
        <rFont val="Kruti Dev 010"/>
      </rPr>
      <t>[kkn~; inkFkkksZa ds j[k&amp;j[kko] ,e0Mh0,e0 dk Å"eh; eku rFkk iks"kd eku vkfn ds lEcU/k esa</t>
    </r>
    <r>
      <rPr>
        <sz val="14"/>
        <rFont val="Calibri"/>
        <family val="2"/>
        <scheme val="minor"/>
      </rPr>
      <t>) in the training.</t>
    </r>
  </si>
  <si>
    <t>* cost of food grains bills of Mar 2019 have also been paid during financial year 2018-19</t>
  </si>
  <si>
    <t>** The payment of foodgrains of March, 2016 have also been paid in 2017-18, therefore the actual payment is made excessive than releasing by the GOI.</t>
  </si>
  <si>
    <t>For the payment of previous bills of foodgrains amounting to Rs. 272.09 Lac is to be reimbursed by Government of India upto 2016-17.</t>
  </si>
  <si>
    <t>Table: AT-6B: PAYMENT OF COST OF FOOD GRAINS TO FCI (Primary and Upper Primary Classes I-VIII) during 2018-19</t>
  </si>
  <si>
    <t>(As on 31st March, 2019)</t>
  </si>
  <si>
    <t>As on 31st March, 2019</t>
  </si>
  <si>
    <t>*Total sanctioned during 2006-07  to 2018-19</t>
  </si>
  <si>
    <t>*Total Allocation during 2006-07 to 2018-19</t>
  </si>
  <si>
    <t>Annual Work Plan and Budget 2019-120</t>
  </si>
  <si>
    <t>Contents</t>
  </si>
  <si>
    <t>Table No.</t>
  </si>
  <si>
    <t>Particulars</t>
  </si>
  <si>
    <t>AT- 1</t>
  </si>
  <si>
    <t>GENERAL INFORMATION for 2018-19</t>
  </si>
  <si>
    <t>AT - 2</t>
  </si>
  <si>
    <t>Details of  Provisions  in the State Budget 2018-19</t>
  </si>
  <si>
    <t>AT - 2 A</t>
  </si>
  <si>
    <t>Releasing of Funds from State to Directorate / Authority / District / Block / School level during 2018-19</t>
  </si>
  <si>
    <t>AT - 3</t>
  </si>
  <si>
    <t>No. of Institutions in the State vis a vis Institutions serving MDM during 2018-19</t>
  </si>
  <si>
    <t>AT- 3 A</t>
  </si>
  <si>
    <t>No. of Institutions covered  (Primary, Classes I-V)  during 2018-19</t>
  </si>
  <si>
    <t>AT- 3 B</t>
  </si>
  <si>
    <t>No. of Institutions covered (Upper Primary with Primary, Classes I-VIII) during 2018-19</t>
  </si>
  <si>
    <t>AT-3 C</t>
  </si>
  <si>
    <t>No. of Institutions covered (Upper Primary without Primary, Classes VI-VIII) during 2018-19</t>
  </si>
  <si>
    <t>AT - 4</t>
  </si>
  <si>
    <t>Enrolment vis-à-vis availed for MDM  (Primary,Classes I- V) during 2018-19</t>
  </si>
  <si>
    <t>AT - 4 A</t>
  </si>
  <si>
    <t>Enrolment vis-a-vis availed for MDM  (Upper Primary, Classes VI - VIII) during 2018-19</t>
  </si>
  <si>
    <t>AT - 4 B</t>
  </si>
  <si>
    <t>Information on Aadhaar Enrolment</t>
  </si>
  <si>
    <t>AT - 5</t>
  </si>
  <si>
    <t>PAB-MDM Approval vs. PERFORMANCE (Primary, Classes I - V) during 2018-19</t>
  </si>
  <si>
    <t>AT - 5 A</t>
  </si>
  <si>
    <t>PAB-MDM Approval vs. PERFORMANCE (Upper Primary, Classes VI to VIII) during 2018-19</t>
  </si>
  <si>
    <t>AT - 5 B</t>
  </si>
  <si>
    <t>PAB-MDM Approval vs. PERFORMANCE NCLP Schools during 2018-19</t>
  </si>
  <si>
    <t>AT - 5 C</t>
  </si>
  <si>
    <t>PAB-MDM Approval vs. PERFORMANCE (Primary, Classes I - V) during 2018-19 - Drought</t>
  </si>
  <si>
    <t>AT - 5 D</t>
  </si>
  <si>
    <t>PAB-MDM Approval vs. PERFORMANCE (Upper Primary, Classes VI to VIII) during 2018-19 - Drought</t>
  </si>
  <si>
    <t>AT - 6</t>
  </si>
  <si>
    <t>Utilisation of foodgrains  (Primary, Classes I-V) during 2018-19</t>
  </si>
  <si>
    <t>AT - 6 A</t>
  </si>
  <si>
    <t>Utilisation of foodgrains  (Upper Primary, Classes VI-VIII) during 2018-19</t>
  </si>
  <si>
    <t>AT - 6 B</t>
  </si>
  <si>
    <t>PAYMENT OF COST OF FOOD GRAINS TO FCI (Primary and Upper Primary Classes I-VIII) during 2018-19</t>
  </si>
  <si>
    <t>AT - 6 C</t>
  </si>
  <si>
    <t>Utilisation of foodgrains (Coarse Grain) during 2018-19</t>
  </si>
  <si>
    <t>AT - 7</t>
  </si>
  <si>
    <t>Utilisation of Cooking Cost (Primary, Classes I-V) during 2018-19</t>
  </si>
  <si>
    <t>AT - 7 A</t>
  </si>
  <si>
    <t>Utilisation of Cooking cost (Upper Primary Classes, VI-VIII) during 2018-19</t>
  </si>
  <si>
    <t>AT - 8</t>
  </si>
  <si>
    <t>Utilisation of funds towards honorarium to Cook-cum-Helpers (Primary classes I-V) during 2018-19</t>
  </si>
  <si>
    <t>AT - 8 A</t>
  </si>
  <si>
    <t>Utilisation of funds towards honorarium to Cook-cum-Helpers (Upper Primary classes VI-VIII) during 2018-19</t>
  </si>
  <si>
    <t>AT - 9</t>
  </si>
  <si>
    <t>Utilisation of Central Assitance towards Transportation Assistance (Primary &amp; Upper Primary,Classes I-VIII) during 2018-19</t>
  </si>
  <si>
    <t>AT - 10</t>
  </si>
  <si>
    <t>Utilisation of Central Assistance towards MME  (Primary &amp; Upper Primary,Classes I-VIII) during 2018-19</t>
  </si>
  <si>
    <t>AT - 10 A</t>
  </si>
  <si>
    <t>Details of Meetings at district level during 2018-19</t>
  </si>
  <si>
    <t>AT - 10 B</t>
  </si>
  <si>
    <t xml:space="preserve">Details of Social Audit </t>
  </si>
  <si>
    <t>AT - 10 C</t>
  </si>
  <si>
    <t>Details of IEC Activities</t>
  </si>
  <si>
    <t>AT - 10 D</t>
  </si>
  <si>
    <t>Manpower dedicated for MDMS</t>
  </si>
  <si>
    <t xml:space="preserve">AT - 10 E </t>
  </si>
  <si>
    <t>Information on Kitchen Garden</t>
  </si>
  <si>
    <t>AT - 10 F</t>
  </si>
  <si>
    <t>Information on Training of Cook-cum-Helpers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</si>
  <si>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</si>
  <si>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</si>
  <si>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</si>
  <si>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</si>
  <si>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</si>
  <si>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</si>
  <si>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</si>
  <si>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</si>
  <si>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</si>
  <si>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</si>
  <si>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</si>
  <si>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</si>
  <si>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</si>
  <si>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</si>
  <si>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</si>
  <si>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</si>
  <si>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</si>
  <si>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</si>
  <si>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Coverage under Rashtriya Bal Swasthya Karykram (School Health Programme) - 2018-19</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</si>
  <si>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</si>
  <si>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</si>
  <si>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</si>
  <si>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</si>
  <si>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</si>
  <si>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</si>
  <si>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</si>
  <si>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</si>
  <si>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</si>
  <si>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</si>
  <si>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</si>
  <si>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Annual and Monthly data entry status in MDM-MIS during 2018-19</t>
  </si>
  <si>
    <t>AT - 23 A</t>
  </si>
  <si>
    <t>Implementation of Automated Monitoring System  during 2018-19</t>
  </si>
  <si>
    <t>AT - 24</t>
  </si>
  <si>
    <t>Details of discrimination of any kind in MDMS</t>
  </si>
  <si>
    <t>AT - 25</t>
  </si>
  <si>
    <t>Details of Grievance Redressal cell</t>
  </si>
  <si>
    <t>AT - 26</t>
  </si>
  <si>
    <t>Number of School Working Days (Primary,Classes I-V) for 2019-20</t>
  </si>
  <si>
    <t>AT - 26 A</t>
  </si>
  <si>
    <t>Number of School Working Days (Upper Primary,Classes VI-VIII) for 2019-20</t>
  </si>
  <si>
    <t>AT - 27</t>
  </si>
  <si>
    <t>Proposal for coverage of children and working days  for 2019-20  (Primary Classes, I-V)</t>
  </si>
  <si>
    <t>AT - 27 A</t>
  </si>
  <si>
    <t>Proposal for coverage of children and working days  for 2019-20  (Upper Primary,Classes VI-VIII)</t>
  </si>
  <si>
    <t>AT - 27 B</t>
  </si>
  <si>
    <t>Proposal for coverage of children for NCLP Schools during 2019-20</t>
  </si>
  <si>
    <t>AT - 27 C</t>
  </si>
  <si>
    <t>Proposal for coverage of children and working days  for Primary (Classes I-V) in Drought affected areas  during 2019-20</t>
  </si>
  <si>
    <t>AT - 27 D</t>
  </si>
  <si>
    <t>Proposal for coverage of children and working days  for  Upper Primary (Classes VI-VIII)in Drought affected areas  during 2019-20</t>
  </si>
  <si>
    <t>AT - 28</t>
  </si>
  <si>
    <t>Requirement of kitchen-cum-stores in the Primary and Upper Primary schools for the year 2019-20</t>
  </si>
  <si>
    <t>AT - 28 A</t>
  </si>
  <si>
    <t>Requirement of kitchen cum stores as per Plinth Area Norm in the Primary and Upper Primary schools for the year 2019-20</t>
  </si>
  <si>
    <t>AT - 28 B</t>
  </si>
  <si>
    <t>Repair of kitchen cum stores constructed ten years ago</t>
  </si>
  <si>
    <t>AT - 29</t>
  </si>
  <si>
    <t>Requirement of Kitchen Devices (new) during 2019-20 in Primary &amp; Upper Primary Schools</t>
  </si>
  <si>
    <t>AT- 29 A</t>
  </si>
  <si>
    <t>Replacement of Kitchen Devices during 2019-20 in Primary &amp; Upper Primary Schools</t>
  </si>
  <si>
    <t>AT - 30</t>
  </si>
  <si>
    <t>Requirement of Cook cum Helpers for 2019-20</t>
  </si>
  <si>
    <t>AT - 31</t>
  </si>
  <si>
    <t>Budget Provision for the Year 2019-20</t>
  </si>
  <si>
    <t>AT - 32</t>
  </si>
  <si>
    <t>PAB-MDM Approval vs. PERFORMANCE (Primary Classes I to V) during 2018-19 - Drought</t>
  </si>
  <si>
    <t>AT - 32 A</t>
  </si>
  <si>
    <t>i) Form &amp; Stationery</t>
  </si>
  <si>
    <t>ii) Social Audit</t>
  </si>
  <si>
    <t>iii) Food Test in School</t>
  </si>
  <si>
    <t>iv) Training of cook cum helpers/Handwash</t>
  </si>
  <si>
    <t>Table: AT-10 :  Utilisation of Central Assistance towards MME  (Primary &amp; Upper Primary,Classes I-VIII) during 2018-19</t>
  </si>
  <si>
    <t>Unspent balance as on 31.03.19                  
 [Col: (4+5)-7]</t>
  </si>
  <si>
    <t>* Allocation for  2018-19</t>
  </si>
  <si>
    <t>Tax on Food-grains</t>
  </si>
  <si>
    <t>Table: AT-2A : Releasing of Funds from State to Directorate / Authority / District / Block / School level for 2018-19</t>
  </si>
  <si>
    <t>(For the Period 01.04.18 to 31.3.19)</t>
  </si>
  <si>
    <t>Table: AT-2 :  Details of  Provisions  in the State Budget 2018-19</t>
  </si>
  <si>
    <t>Budget Released till 31.03.2019</t>
  </si>
  <si>
    <t>Cook-cum helper uniform</t>
  </si>
  <si>
    <t>Atirikit Poshan
(Additional Food Item)</t>
  </si>
  <si>
    <t>USAATA
(UTTARAKHAND SOCIAL AUDIT ACCOUNTABLITY AND TRANSPERANCY)</t>
  </si>
  <si>
    <t>No. of institutions where setting up of kitchen garden is proposed during 
2019-20</t>
  </si>
  <si>
    <t>17139*</t>
  </si>
  <si>
    <t>*Total schools covered by mdm are 17344 but the figure of 17139 as shown in column 6, is less 187 Maqtab/Madarsas and 18 EGS/AIE Center.</t>
  </si>
  <si>
    <t>* Government of india has released the transportation assistance @ Rs. 2516.49 MTs, according to the state average rate but the actual transportation rates in districts are different from state average rates.</t>
  </si>
  <si>
    <t xml:space="preserve"> As per Plinth area1,2,3,4, 
Kitchen Cum Store is  being proposed </t>
  </si>
  <si>
    <t>Unit Cost 
@10000 per KD for Enrolment range 1 to 50.
@15000 per KD for Enrolment range  51 to 150.
@20000 per KD for Enrolment range 151 to 250.
@25000 per KD for Enrolment range 251 to above.</t>
  </si>
  <si>
    <t>PS+UPS (10394)</t>
  </si>
  <si>
    <t>PS - 8067.48 MT</t>
  </si>
  <si>
    <t>UPS- 8428.59 MT</t>
  </si>
  <si>
    <t>2.7% of Cooking Assistance,Transportation Subsidy , Honorarium of cooks &amp; cost of foodgrains.</t>
  </si>
  <si>
    <t>PS - 18777</t>
  </si>
  <si>
    <t>UPS - 10410</t>
  </si>
  <si>
    <t>No. of school days 241</t>
  </si>
  <si>
    <t>(As per Best Quarter Oct-Dec 2018)</t>
  </si>
  <si>
    <t>PS (347250 children)</t>
  </si>
  <si>
    <t>UPS (247982 children)</t>
  </si>
  <si>
    <t>PS - 8368.73 MT</t>
  </si>
  <si>
    <t>UPS- 8964.55 MT</t>
  </si>
  <si>
    <t>5% of Cooking Assistance,Transportation Subsidy , MME, Honorarium of cooks &amp; cost of foodgrains.</t>
  </si>
  <si>
    <t>Table: AT-31 : Budget Provision for the Year 2019-20</t>
  </si>
  <si>
    <t>State / UT: uttarakhand</t>
  </si>
  <si>
    <t>Proposals for 2019-20</t>
  </si>
  <si>
    <t>April,19</t>
  </si>
  <si>
    <t>May,19</t>
  </si>
  <si>
    <t>June,19</t>
  </si>
  <si>
    <t>July,19</t>
  </si>
  <si>
    <t>August,19</t>
  </si>
  <si>
    <t>September,19</t>
  </si>
  <si>
    <t>October,19</t>
  </si>
  <si>
    <t>November,19</t>
  </si>
  <si>
    <t>December,19</t>
  </si>
  <si>
    <t>January,20</t>
  </si>
  <si>
    <t>February,20</t>
  </si>
  <si>
    <t>March,20</t>
  </si>
  <si>
    <t>02 days training programme.</t>
  </si>
  <si>
    <t>[kkn~; inkFkkksZa ds j[k&amp;j[kko] ,e0Mh0,e0 dk Å"eh; eku rFkk iks"kd eku vkfn ds lEcU/k esa</t>
  </si>
  <si>
    <t>D.I.E.T</t>
  </si>
  <si>
    <t xml:space="preserve"> As per Plinth area1,2,3,4, 
Kitchen Cum Store is  being proposed  </t>
  </si>
  <si>
    <t xml:space="preserve">       @10000 Per Kitchen,90:10 (9000+1000)</t>
  </si>
  <si>
    <t>2.7% of Cooking Assistance,Transportation Subsidy , 
Honorarium of cooks &amp; cost of foodgrains.</t>
  </si>
  <si>
    <t>Table: AT-29 : Requirement of Kitchen Devices (New Madarsas) during 2019-20 in Primary &amp; Upper Primary Schools</t>
  </si>
  <si>
    <t>PS+UPS - (4788)</t>
  </si>
  <si>
    <t>UPS (1650 children)</t>
  </si>
  <si>
    <t>UPS- 59.65 MT</t>
  </si>
  <si>
    <t>UPS - 37</t>
  </si>
  <si>
    <t>Additional Plan
2019-20</t>
  </si>
  <si>
    <t>Non- Recurring Assistance</t>
  </si>
  <si>
    <t>A</t>
  </si>
  <si>
    <t>B</t>
  </si>
  <si>
    <t>C</t>
  </si>
  <si>
    <t>G. Total (A+B+C)</t>
  </si>
  <si>
    <t xml:space="preserve">A </t>
  </si>
  <si>
    <t>PS+UPS - (51)</t>
  </si>
  <si>
    <t>PS+UPS (40)</t>
  </si>
  <si>
    <t>Uniform of Cook_cum Helper</t>
  </si>
  <si>
    <t>Extra Nutrition</t>
  </si>
  <si>
    <t>Extra Honorarium to Cook-cum-Helper</t>
  </si>
  <si>
    <t>UPS- 9</t>
  </si>
  <si>
    <t>No Enrollment- 9</t>
  </si>
  <si>
    <t>UPS- 153</t>
  </si>
  <si>
    <t>No Enrollment- 137</t>
  </si>
  <si>
    <t>(Additional Plan for 72 New Madarsas)</t>
  </si>
  <si>
    <t>PS (7357 children)</t>
  </si>
  <si>
    <t>PS+UPS (72)</t>
  </si>
  <si>
    <t>PS - 177.30 MT</t>
  </si>
  <si>
    <t>PS - 151</t>
  </si>
  <si>
    <t>Office Attandante-02</t>
  </si>
  <si>
    <t>Report Awaited</t>
  </si>
  <si>
    <t xml:space="preserve">Social audit report awaited </t>
  </si>
  <si>
    <t xml:space="preserve">100% GOI @ Rs. 2516.49/MTs
</t>
  </si>
  <si>
    <t>Honorarium amount (Rs. In lakhs)
(Central Assistance)</t>
  </si>
  <si>
    <t>PY</t>
  </si>
  <si>
    <t>UPY</t>
  </si>
  <si>
    <t>PY+UPY</t>
  </si>
  <si>
    <t>STATE PROPOSAL</t>
  </si>
  <si>
    <t>MHRD APPROVAL</t>
  </si>
  <si>
    <t>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</si>
</sst>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Red]0.00"/>
    <numFmt numFmtId="166" formatCode="_-[$£-809]* #,##0.00_-;\-[$£-809]* #,##0.00_-;_-[$£-809]* &quot;-&quot;??_-;_-@_-"/>
  </numFmts>
  <fonts count="1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i/>
      <u/>
      <sz val="12"/>
      <name val="Arial"/>
      <family val="2"/>
    </font>
    <font>
      <b/>
      <sz val="14"/>
      <name val="Arial"/>
      <family val="2"/>
    </font>
    <font>
      <b/>
      <u/>
      <sz val="12"/>
      <name val="Arial"/>
      <family val="2"/>
    </font>
    <font>
      <b/>
      <sz val="12"/>
      <name val="Arial"/>
      <family val="2"/>
    </font>
    <font>
      <sz val="10"/>
      <name val="Arial"/>
      <family val="2"/>
    </font>
    <font>
      <b/>
      <u/>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sz val="10"/>
      <name val="Arial"/>
      <family val="2"/>
    </font>
    <font>
      <b/>
      <sz val="11"/>
      <name val="Arial"/>
      <family val="2"/>
    </font>
    <font>
      <b/>
      <u/>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0"/>
      <color indexed="8"/>
      <name val="Arial"/>
      <family val="2"/>
    </font>
    <font>
      <b/>
      <i/>
      <sz val="11"/>
      <color indexed="8"/>
      <name val="Calibri"/>
      <family val="2"/>
    </font>
    <font>
      <b/>
      <i/>
      <sz val="11"/>
      <name val="Arial"/>
      <family val="2"/>
    </font>
    <font>
      <i/>
      <sz val="11"/>
      <name val="Arial"/>
      <family val="2"/>
    </font>
    <font>
      <b/>
      <i/>
      <sz val="11"/>
      <color indexed="8"/>
      <name val="Arial"/>
      <family val="2"/>
    </font>
    <font>
      <b/>
      <u/>
      <sz val="14"/>
      <color indexed="8"/>
      <name val="Arial"/>
      <family val="2"/>
    </font>
    <font>
      <b/>
      <sz val="10"/>
      <color indexed="8"/>
      <name val="Calibri"/>
      <family val="2"/>
    </font>
    <font>
      <b/>
      <u/>
      <sz val="14"/>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sz val="10"/>
      <color indexed="8"/>
      <name val="Arial"/>
      <family val="2"/>
    </font>
    <font>
      <b/>
      <sz val="26"/>
      <name val="Arial"/>
      <family val="2"/>
    </font>
    <font>
      <b/>
      <sz val="18"/>
      <name val="Arial"/>
      <family val="2"/>
    </font>
    <font>
      <sz val="18"/>
      <name val="Arial"/>
      <family val="2"/>
    </font>
    <font>
      <b/>
      <i/>
      <sz val="12"/>
      <name val="Arial"/>
      <family val="2"/>
    </font>
    <font>
      <b/>
      <sz val="14"/>
      <name val="Trebuchet MS"/>
      <family val="2"/>
    </font>
    <font>
      <sz val="14"/>
      <name val="Arial"/>
      <family val="2"/>
    </font>
    <font>
      <sz val="14"/>
      <color indexed="8"/>
      <name val="Arial"/>
      <family val="2"/>
    </font>
    <font>
      <b/>
      <sz val="8"/>
      <name val="Arial"/>
      <family val="2"/>
    </font>
    <font>
      <b/>
      <sz val="8"/>
      <color indexed="10"/>
      <name val="Arial"/>
      <family val="2"/>
    </font>
    <font>
      <b/>
      <sz val="10"/>
      <color indexed="10"/>
      <name val="Arial"/>
      <family val="2"/>
    </font>
    <font>
      <b/>
      <sz val="13"/>
      <name val="Arial"/>
      <family val="2"/>
    </font>
    <font>
      <b/>
      <sz val="9"/>
      <name val="Arial"/>
      <family val="2"/>
    </font>
    <font>
      <sz val="9"/>
      <name val="Arial"/>
      <family val="2"/>
    </font>
    <font>
      <b/>
      <i/>
      <sz val="9"/>
      <name val="Arial"/>
      <family val="2"/>
    </font>
    <font>
      <b/>
      <i/>
      <u/>
      <sz val="9"/>
      <name val="Arial"/>
      <family val="2"/>
    </font>
    <font>
      <b/>
      <u/>
      <sz val="9"/>
      <name val="Arial"/>
      <family val="2"/>
    </font>
    <font>
      <b/>
      <i/>
      <u/>
      <sz val="11"/>
      <name val="Arial"/>
      <family val="2"/>
    </font>
    <font>
      <sz val="9"/>
      <name val="Trebuchet MS"/>
      <family val="2"/>
    </font>
    <font>
      <b/>
      <sz val="11"/>
      <name val="Trebuchet MS"/>
      <family val="2"/>
    </font>
    <font>
      <b/>
      <sz val="14"/>
      <color indexed="8"/>
      <name val="Arial"/>
      <family val="2"/>
    </font>
    <font>
      <b/>
      <sz val="13"/>
      <name val="Trebuchet MS"/>
      <family val="2"/>
    </font>
    <font>
      <sz val="36"/>
      <name val="Arial"/>
      <family val="2"/>
    </font>
    <font>
      <sz val="28"/>
      <name val="Arial"/>
      <family val="2"/>
    </font>
    <font>
      <i/>
      <sz val="11"/>
      <name val="Trebuchet MS"/>
      <family val="2"/>
    </font>
    <font>
      <sz val="11"/>
      <name val="Trebuchet MS"/>
      <family val="2"/>
    </font>
    <font>
      <sz val="11"/>
      <color theme="1"/>
      <name val="Calibri"/>
      <family val="2"/>
      <scheme val="minor"/>
    </font>
    <font>
      <u/>
      <sz val="10"/>
      <color theme="10"/>
      <name val="Arial"/>
      <family val="2"/>
    </font>
    <font>
      <b/>
      <sz val="11"/>
      <color theme="1"/>
      <name val="Calibri"/>
      <family val="2"/>
      <scheme val="minor"/>
    </font>
    <font>
      <b/>
      <i/>
      <sz val="11"/>
      <color theme="1"/>
      <name val="Calibri"/>
      <family val="2"/>
      <scheme val="minor"/>
    </font>
    <font>
      <b/>
      <sz val="9"/>
      <color theme="1"/>
      <name val="Calibri"/>
      <family val="2"/>
      <scheme val="minor"/>
    </font>
    <font>
      <b/>
      <sz val="16"/>
      <color theme="1"/>
      <name val="Calibri"/>
      <family val="2"/>
      <scheme val="minor"/>
    </font>
    <font>
      <b/>
      <i/>
      <sz val="10"/>
      <color theme="1"/>
      <name val="Cambria"/>
      <family val="1"/>
      <scheme val="major"/>
    </font>
    <font>
      <b/>
      <i/>
      <sz val="10"/>
      <color theme="1"/>
      <name val="Calibri"/>
      <family val="2"/>
      <scheme val="minor"/>
    </font>
    <font>
      <b/>
      <sz val="14"/>
      <color theme="1"/>
      <name val="Calibri"/>
      <family val="2"/>
      <scheme val="minor"/>
    </font>
    <font>
      <b/>
      <sz val="10"/>
      <color theme="1"/>
      <name val="Calibri"/>
      <family val="2"/>
      <scheme val="minor"/>
    </font>
    <font>
      <b/>
      <sz val="11"/>
      <name val="Calibri"/>
      <family val="2"/>
      <scheme val="minor"/>
    </font>
    <font>
      <sz val="10"/>
      <color theme="0"/>
      <name val="Arial"/>
      <family val="2"/>
    </font>
    <font>
      <b/>
      <sz val="10"/>
      <color rgb="FF00B050"/>
      <name val="Arial"/>
      <family val="2"/>
    </font>
    <font>
      <b/>
      <sz val="10"/>
      <name val="Calibri"/>
      <family val="2"/>
      <scheme val="minor"/>
    </font>
    <font>
      <sz val="10"/>
      <name val="Calibri"/>
      <family val="2"/>
      <scheme val="minor"/>
    </font>
    <font>
      <b/>
      <sz val="12"/>
      <color theme="1"/>
      <name val="Calibri"/>
      <family val="2"/>
      <scheme val="minor"/>
    </font>
    <font>
      <sz val="10"/>
      <color theme="1"/>
      <name val="Cambria"/>
      <family val="1"/>
      <scheme val="major"/>
    </font>
    <font>
      <b/>
      <sz val="11"/>
      <color theme="1"/>
      <name val="Cambria"/>
      <family val="1"/>
      <scheme val="major"/>
    </font>
    <font>
      <b/>
      <sz val="10"/>
      <color theme="1"/>
      <name val="Cambria"/>
      <family val="1"/>
      <scheme val="major"/>
    </font>
    <font>
      <sz val="10"/>
      <color rgb="FF00B050"/>
      <name val="Arial"/>
      <family val="2"/>
    </font>
    <font>
      <sz val="12"/>
      <name val="Calibri"/>
      <family val="2"/>
      <scheme val="minor"/>
    </font>
    <font>
      <sz val="10"/>
      <color rgb="FF000000"/>
      <name val="Arial"/>
      <family val="2"/>
    </font>
    <font>
      <b/>
      <sz val="12"/>
      <name val="Calibri"/>
      <family val="2"/>
      <scheme val="minor"/>
    </font>
    <font>
      <b/>
      <u/>
      <sz val="14"/>
      <color rgb="FF00B050"/>
      <name val="Arial"/>
      <family val="2"/>
    </font>
    <font>
      <sz val="11"/>
      <color rgb="FF000000"/>
      <name val="Calibri"/>
      <family val="2"/>
      <scheme val="minor"/>
    </font>
    <font>
      <b/>
      <sz val="11"/>
      <color theme="1"/>
      <name val="Arial"/>
      <family val="2"/>
    </font>
    <font>
      <sz val="11"/>
      <name val="Calibri"/>
      <family val="2"/>
      <scheme val="minor"/>
    </font>
    <font>
      <b/>
      <sz val="10"/>
      <color theme="1"/>
      <name val="Arial"/>
      <family val="2"/>
    </font>
    <font>
      <sz val="11"/>
      <color theme="1"/>
      <name val="Arial"/>
      <family val="2"/>
    </font>
    <font>
      <b/>
      <u/>
      <sz val="16"/>
      <color rgb="FF00B050"/>
      <name val="Arial"/>
      <family val="2"/>
    </font>
    <font>
      <b/>
      <sz val="14"/>
      <color rgb="FF00B050"/>
      <name val="Trebuchet MS"/>
      <family val="2"/>
    </font>
    <font>
      <b/>
      <sz val="14"/>
      <color rgb="FF00B050"/>
      <name val="Arial"/>
      <family val="2"/>
    </font>
    <font>
      <b/>
      <u/>
      <sz val="12"/>
      <color rgb="FF00B050"/>
      <name val="Arial"/>
      <family val="2"/>
    </font>
    <font>
      <sz val="14"/>
      <color rgb="FF00B050"/>
      <name val="Arial"/>
      <family val="2"/>
    </font>
    <font>
      <b/>
      <u/>
      <sz val="14"/>
      <color rgb="FF92D050"/>
      <name val="Arial"/>
      <family val="2"/>
    </font>
    <font>
      <b/>
      <sz val="14"/>
      <color rgb="FF00B050"/>
      <name val="Calibri"/>
      <family val="2"/>
      <scheme val="minor"/>
    </font>
    <font>
      <b/>
      <sz val="16"/>
      <color rgb="FF00B050"/>
      <name val="Trebuchet MS"/>
      <family val="2"/>
    </font>
    <font>
      <sz val="14"/>
      <color rgb="FF92D050"/>
      <name val="Arial"/>
      <family val="2"/>
    </font>
    <font>
      <b/>
      <sz val="12"/>
      <color rgb="FF00B050"/>
      <name val="Trebuchet MS"/>
      <family val="2"/>
    </font>
    <font>
      <b/>
      <sz val="16"/>
      <color rgb="FF00B050"/>
      <name val="Calibri"/>
      <family val="2"/>
      <scheme val="minor"/>
    </font>
    <font>
      <b/>
      <sz val="26"/>
      <name val="Calibri"/>
      <family val="2"/>
      <scheme val="minor"/>
    </font>
    <font>
      <b/>
      <sz val="14"/>
      <color rgb="FF92D050"/>
      <name val="Arial"/>
      <family val="2"/>
    </font>
    <font>
      <sz val="10"/>
      <color theme="1"/>
      <name val="Arial"/>
      <family val="2"/>
    </font>
    <font>
      <b/>
      <sz val="14"/>
      <color theme="1"/>
      <name val="Cambria"/>
      <family val="1"/>
      <scheme val="major"/>
    </font>
    <font>
      <sz val="14"/>
      <color theme="1"/>
      <name val="Cambria"/>
      <family val="1"/>
      <scheme val="major"/>
    </font>
    <font>
      <sz val="12"/>
      <color theme="1"/>
      <name val="Calibri"/>
      <family val="2"/>
      <scheme val="minor"/>
    </font>
    <font>
      <sz val="12"/>
      <color theme="1"/>
      <name val="Cambria"/>
      <family val="1"/>
      <scheme val="major"/>
    </font>
    <font>
      <sz val="10"/>
      <color theme="0" tint="-0.34998626667073579"/>
      <name val="Arial"/>
      <family val="2"/>
    </font>
    <font>
      <i/>
      <sz val="10"/>
      <color theme="0" tint="-0.34998626667073579"/>
      <name val="Arial"/>
      <family val="2"/>
    </font>
    <font>
      <sz val="11"/>
      <name val="Times New Roman"/>
      <family val="1"/>
    </font>
    <font>
      <sz val="11"/>
      <color theme="0" tint="-0.34998626667073579"/>
      <name val="Arial"/>
      <family val="2"/>
    </font>
    <font>
      <b/>
      <sz val="10"/>
      <color theme="0" tint="-0.34998626667073579"/>
      <name val="Arial"/>
      <family val="2"/>
    </font>
    <font>
      <b/>
      <sz val="12"/>
      <color indexed="8"/>
      <name val="Arial"/>
      <family val="2"/>
    </font>
    <font>
      <b/>
      <i/>
      <sz val="10"/>
      <color indexed="8"/>
      <name val="Arial"/>
      <family val="2"/>
    </font>
    <font>
      <b/>
      <u/>
      <sz val="13"/>
      <color rgb="FF00B050"/>
      <name val="Arial"/>
      <family val="2"/>
    </font>
    <font>
      <sz val="11"/>
      <color theme="0"/>
      <name val="Arial"/>
      <family val="2"/>
    </font>
    <font>
      <b/>
      <sz val="11"/>
      <color theme="0"/>
      <name val="Arial"/>
      <family val="2"/>
    </font>
    <font>
      <sz val="14"/>
      <name val="Calibri"/>
      <family val="2"/>
      <scheme val="minor"/>
    </font>
    <font>
      <sz val="14"/>
      <name val="Kruti Dev 010"/>
    </font>
    <font>
      <sz val="12"/>
      <name val="Times New Roman"/>
      <family val="1"/>
    </font>
    <font>
      <i/>
      <sz val="12"/>
      <name val="Times New Roman"/>
      <family val="1"/>
    </font>
    <font>
      <sz val="12"/>
      <color theme="1"/>
      <name val="Times New Roman"/>
      <family val="1"/>
    </font>
    <font>
      <b/>
      <sz val="12"/>
      <name val="Times New Roman"/>
      <family val="1"/>
    </font>
    <font>
      <b/>
      <sz val="12"/>
      <color theme="1"/>
      <name val="Times New Roman"/>
      <family val="1"/>
    </font>
    <font>
      <sz val="10"/>
      <color rgb="FFFF0000"/>
      <name val="Arial"/>
      <family val="2"/>
    </font>
    <font>
      <sz val="14"/>
      <color indexed="8"/>
      <name val="Times New Roman"/>
      <family val="1"/>
    </font>
    <font>
      <b/>
      <sz val="14"/>
      <color indexed="8"/>
      <name val="Times New Roman"/>
      <family val="1"/>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s>
  <cellStyleXfs count="7381">
    <xf numFmtId="0" fontId="0" fillId="0" borderId="0"/>
    <xf numFmtId="0" fontId="67" fillId="0" borderId="0" applyNumberFormat="0" applyFill="0" applyBorder="0" applyAlignment="0" applyProtection="0">
      <alignment vertical="top"/>
      <protection locked="0"/>
    </xf>
    <xf numFmtId="0" fontId="6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66" fillId="0" borderId="0"/>
    <xf numFmtId="0" fontId="12" fillId="0" borderId="0"/>
    <xf numFmtId="0" fontId="12" fillId="0" borderId="0"/>
    <xf numFmtId="0" fontId="12" fillId="0" borderId="0"/>
    <xf numFmtId="0" fontId="6" fillId="0" borderId="0"/>
    <xf numFmtId="0" fontId="6" fillId="0" borderId="0"/>
    <xf numFmtId="166" fontId="6" fillId="0" borderId="0"/>
    <xf numFmtId="0" fontId="6" fillId="0" borderId="0"/>
    <xf numFmtId="166" fontId="6" fillId="0" borderId="0"/>
    <xf numFmtId="0" fontId="6" fillId="0" borderId="0"/>
    <xf numFmtId="0" fontId="6"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12" fillId="0" borderId="0"/>
    <xf numFmtId="166" fontId="6" fillId="0" borderId="0"/>
    <xf numFmtId="166" fontId="6"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6" fillId="0" borderId="0"/>
    <xf numFmtId="166" fontId="12" fillId="0" borderId="0"/>
    <xf numFmtId="166" fontId="12" fillId="0" borderId="0"/>
    <xf numFmtId="166"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xf numFmtId="0" fontId="12" fillId="0" borderId="0"/>
    <xf numFmtId="0" fontId="12" fillId="0" borderId="0"/>
    <xf numFmtId="0" fontId="12" fillId="0" borderId="0"/>
    <xf numFmtId="0" fontId="12" fillId="0" borderId="0"/>
    <xf numFmtId="0" fontId="12"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6" fillId="0" borderId="0"/>
    <xf numFmtId="166" fontId="6" fillId="0" borderId="0"/>
    <xf numFmtId="166" fontId="6" fillId="0" borderId="0"/>
    <xf numFmtId="166" fontId="12" fillId="0" borderId="0"/>
    <xf numFmtId="0" fontId="6" fillId="0" borderId="0"/>
    <xf numFmtId="0" fontId="6" fillId="0" borderId="0"/>
    <xf numFmtId="0" fontId="6" fillId="0" borderId="0"/>
    <xf numFmtId="0" fontId="6" fillId="0" borderId="0"/>
    <xf numFmtId="0" fontId="6" fillId="0" borderId="0"/>
    <xf numFmtId="0" fontId="6" fillId="0" borderId="0"/>
    <xf numFmtId="166" fontId="12" fillId="0" borderId="0"/>
    <xf numFmtId="0" fontId="6" fillId="0" borderId="0"/>
    <xf numFmtId="0" fontId="6" fillId="0" borderId="0"/>
    <xf numFmtId="0" fontId="6" fillId="0" borderId="0"/>
    <xf numFmtId="0" fontId="6" fillId="0" borderId="0"/>
    <xf numFmtId="0" fontId="6" fillId="0" borderId="0"/>
    <xf numFmtId="0"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6" fillId="0" borderId="0"/>
    <xf numFmtId="166" fontId="6" fillId="0" borderId="0"/>
    <xf numFmtId="166"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6" fillId="0" borderId="0"/>
    <xf numFmtId="166" fontId="12" fillId="0" borderId="0"/>
    <xf numFmtId="166" fontId="12" fillId="0" borderId="0"/>
    <xf numFmtId="166" fontId="12" fillId="0" borderId="0"/>
    <xf numFmtId="166" fontId="6" fillId="0" borderId="0"/>
    <xf numFmtId="0" fontId="12" fillId="0" borderId="0"/>
    <xf numFmtId="0" fontId="12" fillId="0" borderId="0"/>
    <xf numFmtId="0" fontId="12" fillId="0" borderId="0"/>
    <xf numFmtId="166"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6" fillId="0" borderId="0"/>
    <xf numFmtId="166" fontId="12" fillId="0" borderId="0"/>
    <xf numFmtId="0" fontId="6" fillId="0" borderId="0"/>
    <xf numFmtId="166" fontId="12" fillId="0" borderId="0"/>
    <xf numFmtId="166" fontId="12" fillId="0" borderId="0"/>
    <xf numFmtId="166" fontId="12" fillId="0" borderId="0"/>
    <xf numFmtId="0" fontId="12" fillId="0" borderId="0"/>
    <xf numFmtId="166" fontId="6" fillId="0" borderId="0"/>
    <xf numFmtId="166"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0" fontId="6" fillId="0" borderId="0"/>
    <xf numFmtId="166" fontId="6" fillId="0" borderId="0"/>
    <xf numFmtId="166" fontId="6" fillId="0" borderId="0"/>
    <xf numFmtId="166" fontId="6" fillId="0" borderId="0"/>
    <xf numFmtId="0" fontId="12" fillId="0" borderId="0"/>
    <xf numFmtId="0" fontId="12" fillId="0" borderId="0"/>
    <xf numFmtId="0" fontId="12" fillId="0" borderId="0"/>
    <xf numFmtId="0" fontId="12" fillId="0" borderId="0"/>
    <xf numFmtId="166"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xf numFmtId="0" fontId="12" fillId="0" borderId="0"/>
    <xf numFmtId="0"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6" fillId="0" borderId="0"/>
    <xf numFmtId="166" fontId="6" fillId="0" borderId="0"/>
    <xf numFmtId="166" fontId="6" fillId="0" borderId="0"/>
    <xf numFmtId="0" fontId="6" fillId="0" borderId="0"/>
    <xf numFmtId="0" fontId="6" fillId="0" borderId="0"/>
    <xf numFmtId="166" fontId="6" fillId="0" borderId="0"/>
    <xf numFmtId="166" fontId="6" fillId="0" borderId="0"/>
    <xf numFmtId="0" fontId="6" fillId="0" borderId="0"/>
    <xf numFmtId="166" fontId="6" fillId="0" borderId="0"/>
    <xf numFmtId="166" fontId="6" fillId="0" borderId="0"/>
    <xf numFmtId="166" fontId="6" fillId="0" borderId="0"/>
    <xf numFmtId="166" fontId="6" fillId="0" borderId="0"/>
    <xf numFmtId="166"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6" fillId="0" borderId="0"/>
    <xf numFmtId="0" fontId="6" fillId="0" borderId="0"/>
    <xf numFmtId="166" fontId="6" fillId="0" borderId="0"/>
    <xf numFmtId="0" fontId="6" fillId="0" borderId="0"/>
    <xf numFmtId="0" fontId="6" fillId="0" borderId="0"/>
    <xf numFmtId="0" fontId="6" fillId="0" borderId="0"/>
    <xf numFmtId="0" fontId="6" fillId="0" borderId="0"/>
    <xf numFmtId="166" fontId="6" fillId="0" borderId="0"/>
    <xf numFmtId="166"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0" fontId="6"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6" fillId="0" borderId="0"/>
    <xf numFmtId="166" fontId="6" fillId="0" borderId="0"/>
    <xf numFmtId="166" fontId="6" fillId="0" borderId="0"/>
    <xf numFmtId="166" fontId="6" fillId="0" borderId="0"/>
    <xf numFmtId="166" fontId="6" fillId="0" borderId="0"/>
    <xf numFmtId="0" fontId="6" fillId="0" borderId="0"/>
    <xf numFmtId="0" fontId="6" fillId="0" borderId="0"/>
    <xf numFmtId="166" fontId="6" fillId="0" borderId="0"/>
    <xf numFmtId="0" fontId="6" fillId="0" borderId="0"/>
    <xf numFmtId="0" fontId="5" fillId="0" borderId="0"/>
    <xf numFmtId="0" fontId="4" fillId="0" borderId="0"/>
    <xf numFmtId="0" fontId="3" fillId="0" borderId="0"/>
    <xf numFmtId="0" fontId="3" fillId="0" borderId="0"/>
    <xf numFmtId="9" fontId="133" fillId="0" borderId="0" applyFont="0" applyFill="0" applyBorder="0" applyAlignment="0" applyProtection="0"/>
  </cellStyleXfs>
  <cellXfs count="1658">
    <xf numFmtId="0" fontId="0" fillId="0" borderId="0" xfId="0"/>
    <xf numFmtId="0" fontId="7" fillId="0" borderId="0" xfId="0" applyFont="1" applyAlignment="1">
      <alignment horizontal="center"/>
    </xf>
    <xf numFmtId="0" fontId="7" fillId="0" borderId="1" xfId="0" applyFont="1" applyBorder="1" applyAlignment="1">
      <alignment horizontal="center"/>
    </xf>
    <xf numFmtId="0" fontId="7" fillId="0" borderId="2" xfId="0" applyFont="1" applyBorder="1" applyAlignment="1">
      <alignment horizontal="center" vertical="top" wrapText="1"/>
    </xf>
    <xf numFmtId="0" fontId="7" fillId="0" borderId="1" xfId="0" applyFont="1" applyBorder="1" applyAlignment="1">
      <alignment horizontal="center" vertical="top" wrapText="1"/>
    </xf>
    <xf numFmtId="0" fontId="7" fillId="0" borderId="3" xfId="0" applyFont="1" applyBorder="1" applyAlignment="1">
      <alignment horizontal="center" vertical="top" wrapText="1"/>
    </xf>
    <xf numFmtId="0" fontId="0" fillId="0" borderId="1" xfId="0" applyBorder="1"/>
    <xf numFmtId="0" fontId="0" fillId="0" borderId="0" xfId="0" applyFill="1" applyBorder="1" applyAlignment="1">
      <alignment horizontal="left"/>
    </xf>
    <xf numFmtId="0" fontId="7" fillId="0" borderId="0" xfId="0" applyFont="1" applyBorder="1" applyAlignment="1">
      <alignment horizontal="center"/>
    </xf>
    <xf numFmtId="0" fontId="0" fillId="0" borderId="0" xfId="0" applyBorder="1"/>
    <xf numFmtId="0" fontId="11" fillId="0" borderId="0" xfId="0" applyFont="1"/>
    <xf numFmtId="0" fontId="7" fillId="0" borderId="0" xfId="0" applyFont="1"/>
    <xf numFmtId="0" fontId="12" fillId="0" borderId="0" xfId="0" applyFont="1"/>
    <xf numFmtId="0" fontId="7" fillId="0" borderId="0" xfId="0" applyFont="1" applyBorder="1" applyAlignment="1">
      <alignment horizontal="right"/>
    </xf>
    <xf numFmtId="0" fontId="12" fillId="0" borderId="1" xfId="0" applyFont="1" applyBorder="1"/>
    <xf numFmtId="0" fontId="12" fillId="0" borderId="0" xfId="0" applyFont="1" applyFill="1" applyBorder="1" applyAlignment="1">
      <alignment horizontal="left"/>
    </xf>
    <xf numFmtId="0" fontId="12" fillId="0" borderId="0" xfId="0" applyFont="1" applyBorder="1"/>
    <xf numFmtId="0" fontId="14" fillId="0" borderId="0" xfId="0" applyFont="1" applyAlignment="1">
      <alignment horizontal="center"/>
    </xf>
    <xf numFmtId="0" fontId="7" fillId="0" borderId="4" xfId="0" applyFont="1" applyFill="1" applyBorder="1" applyAlignment="1">
      <alignment horizontal="center" vertical="top" wrapText="1"/>
    </xf>
    <xf numFmtId="0" fontId="7" fillId="0" borderId="1" xfId="0" applyFont="1" applyBorder="1"/>
    <xf numFmtId="0" fontId="7" fillId="0" borderId="0" xfId="0" applyFont="1" applyBorder="1"/>
    <xf numFmtId="0" fontId="7" fillId="0" borderId="0" xfId="0" applyFont="1" applyAlignment="1">
      <alignment horizontal="left"/>
    </xf>
    <xf numFmtId="0" fontId="7" fillId="0" borderId="0" xfId="0" applyFont="1" applyAlignment="1">
      <alignment horizontal="right"/>
    </xf>
    <xf numFmtId="0" fontId="7" fillId="0" borderId="0" xfId="0" applyFont="1" applyFill="1" applyBorder="1" applyAlignment="1">
      <alignment horizontal="left"/>
    </xf>
    <xf numFmtId="0" fontId="7" fillId="0" borderId="0" xfId="0" applyFont="1" applyAlignment="1"/>
    <xf numFmtId="0" fontId="7" fillId="0" borderId="5" xfId="0" applyFont="1" applyBorder="1" applyAlignment="1">
      <alignment vertical="top" wrapText="1"/>
    </xf>
    <xf numFmtId="0" fontId="12" fillId="0" borderId="0" xfId="0" applyFont="1" applyAlignment="1">
      <alignment vertical="top" wrapText="1"/>
    </xf>
    <xf numFmtId="0" fontId="7" fillId="0" borderId="5" xfId="0" applyFont="1" applyBorder="1"/>
    <xf numFmtId="0" fontId="12" fillId="0" borderId="5" xfId="0" applyFont="1" applyBorder="1"/>
    <xf numFmtId="0" fontId="12" fillId="0" borderId="5" xfId="0" applyFont="1" applyBorder="1" applyAlignment="1">
      <alignment vertical="top" wrapText="1"/>
    </xf>
    <xf numFmtId="0" fontId="11" fillId="0" borderId="0" xfId="0" applyFont="1" applyAlignment="1">
      <alignment horizontal="center"/>
    </xf>
    <xf numFmtId="0" fontId="8" fillId="0" borderId="0" xfId="0" applyFont="1" applyAlignment="1">
      <alignment horizontal="right"/>
    </xf>
    <xf numFmtId="0" fontId="8" fillId="0" borderId="0" xfId="0" applyFont="1" applyAlignment="1"/>
    <xf numFmtId="0" fontId="16" fillId="0" borderId="0" xfId="0" applyFont="1" applyAlignment="1"/>
    <xf numFmtId="0" fontId="17" fillId="0" borderId="0" xfId="0" applyFont="1" applyAlignment="1"/>
    <xf numFmtId="0" fontId="10" fillId="0" borderId="0" xfId="0" applyFont="1" applyAlignment="1">
      <alignment horizontal="center" wrapText="1"/>
    </xf>
    <xf numFmtId="0" fontId="10" fillId="0" borderId="0" xfId="0" applyFont="1" applyAlignment="1">
      <alignment horizontal="center"/>
    </xf>
    <xf numFmtId="0" fontId="20" fillId="0" borderId="0" xfId="0" applyFont="1" applyAlignment="1">
      <alignment horizontal="left"/>
    </xf>
    <xf numFmtId="0" fontId="18" fillId="0" borderId="0" xfId="0" applyFont="1"/>
    <xf numFmtId="0" fontId="20" fillId="0" borderId="0" xfId="0" applyFont="1"/>
    <xf numFmtId="0" fontId="18" fillId="0" borderId="0" xfId="0" applyFont="1" applyBorder="1"/>
    <xf numFmtId="0" fontId="7" fillId="0" borderId="5" xfId="0" applyFont="1" applyBorder="1" applyAlignment="1">
      <alignment horizontal="center" vertical="top" wrapText="1"/>
    </xf>
    <xf numFmtId="0" fontId="18" fillId="0" borderId="0" xfId="0" applyFont="1" applyAlignment="1">
      <alignment horizontal="center" vertical="top" wrapText="1"/>
    </xf>
    <xf numFmtId="0" fontId="18" fillId="0" borderId="0" xfId="0" applyFont="1" applyAlignment="1">
      <alignment vertical="top" wrapText="1"/>
    </xf>
    <xf numFmtId="0" fontId="18" fillId="0" borderId="0" xfId="0" applyFont="1" applyBorder="1" applyAlignment="1">
      <alignment vertical="top" wrapText="1"/>
    </xf>
    <xf numFmtId="0" fontId="20" fillId="0" borderId="0" xfId="0" applyFont="1" applyFill="1" applyBorder="1" applyAlignment="1">
      <alignment vertical="top" wrapText="1"/>
    </xf>
    <xf numFmtId="0" fontId="18" fillId="0" borderId="0" xfId="0" applyFont="1" applyBorder="1" applyAlignment="1">
      <alignment horizontal="center" vertical="top" wrapText="1"/>
    </xf>
    <xf numFmtId="0" fontId="21" fillId="0" borderId="0" xfId="0" applyFont="1" applyAlignment="1">
      <alignment horizontal="center" vertical="top" wrapText="1"/>
    </xf>
    <xf numFmtId="0" fontId="17" fillId="0" borderId="0" xfId="0" applyFont="1"/>
    <xf numFmtId="0" fontId="15" fillId="0" borderId="0" xfId="0" applyFont="1"/>
    <xf numFmtId="0" fontId="22" fillId="0" borderId="0" xfId="0" applyFont="1"/>
    <xf numFmtId="0" fontId="12" fillId="0" borderId="0" xfId="0" quotePrefix="1" applyFont="1" applyBorder="1" applyAlignment="1">
      <alignment horizontal="center"/>
    </xf>
    <xf numFmtId="0" fontId="24" fillId="0" borderId="0" xfId="2" applyFont="1"/>
    <xf numFmtId="0" fontId="25" fillId="0" borderId="0" xfId="2" applyFont="1"/>
    <xf numFmtId="0" fontId="7" fillId="0" borderId="0" xfId="0" applyFont="1" applyAlignment="1">
      <alignment vertical="top" wrapText="1"/>
    </xf>
    <xf numFmtId="0" fontId="12" fillId="0" borderId="0" xfId="4"/>
    <xf numFmtId="0" fontId="7" fillId="0" borderId="0" xfId="4" applyFont="1" applyAlignment="1">
      <alignment horizontal="center"/>
    </xf>
    <xf numFmtId="0" fontId="17" fillId="0" borderId="0" xfId="4" applyFont="1" applyAlignment="1">
      <alignment horizontal="center"/>
    </xf>
    <xf numFmtId="0" fontId="10" fillId="0" borderId="0" xfId="4" applyFont="1" applyAlignment="1">
      <alignment horizontal="center"/>
    </xf>
    <xf numFmtId="0" fontId="9" fillId="0" borderId="0" xfId="4" applyFont="1"/>
    <xf numFmtId="0" fontId="12" fillId="0" borderId="0" xfId="4" applyFill="1" applyBorder="1" applyAlignment="1">
      <alignment horizontal="left"/>
    </xf>
    <xf numFmtId="0" fontId="7" fillId="0" borderId="0" xfId="4" applyFont="1" applyBorder="1" applyAlignment="1">
      <alignment horizontal="center"/>
    </xf>
    <xf numFmtId="0" fontId="12" fillId="0" borderId="0" xfId="4" applyBorder="1"/>
    <xf numFmtId="0" fontId="11" fillId="0" borderId="0" xfId="4" applyFont="1"/>
    <xf numFmtId="0" fontId="7" fillId="0" borderId="0" xfId="4" applyFont="1"/>
    <xf numFmtId="0" fontId="8" fillId="0" borderId="0" xfId="4" applyFont="1" applyAlignment="1"/>
    <xf numFmtId="0" fontId="22" fillId="0" borderId="6" xfId="0" applyFont="1" applyBorder="1" applyAlignment="1"/>
    <xf numFmtId="0" fontId="7" fillId="0" borderId="7" xfId="0" applyFont="1" applyFill="1" applyBorder="1" applyAlignment="1">
      <alignment horizontal="center" vertical="top" wrapText="1"/>
    </xf>
    <xf numFmtId="0" fontId="12" fillId="0" borderId="1" xfId="0" applyFont="1" applyBorder="1" applyAlignment="1">
      <alignment horizontal="center" vertical="center" wrapText="1"/>
    </xf>
    <xf numFmtId="0" fontId="11" fillId="0" borderId="0" xfId="0" applyFont="1" applyAlignment="1"/>
    <xf numFmtId="0" fontId="24" fillId="0" borderId="1" xfId="2" applyFont="1" applyBorder="1"/>
    <xf numFmtId="0" fontId="24" fillId="0" borderId="0" xfId="2" applyFont="1" applyBorder="1"/>
    <xf numFmtId="0" fontId="22" fillId="0" borderId="0" xfId="0" applyFont="1" applyBorder="1" applyAlignment="1"/>
    <xf numFmtId="0" fontId="15" fillId="0" borderId="0" xfId="0" applyFont="1" applyBorder="1"/>
    <xf numFmtId="0" fontId="18" fillId="0" borderId="0" xfId="0" applyFont="1" applyBorder="1" applyAlignment="1"/>
    <xf numFmtId="0" fontId="7" fillId="0" borderId="0" xfId="0" applyFont="1" applyBorder="1" applyAlignment="1">
      <alignment horizontal="center" vertical="top" wrapText="1"/>
    </xf>
    <xf numFmtId="0" fontId="7" fillId="0" borderId="0" xfId="4" applyFont="1" applyBorder="1"/>
    <xf numFmtId="0" fontId="11" fillId="0" borderId="0" xfId="0" applyFont="1" applyBorder="1"/>
    <xf numFmtId="0" fontId="11" fillId="0" borderId="1" xfId="0" applyFont="1" applyBorder="1"/>
    <xf numFmtId="0" fontId="7" fillId="0" borderId="0" xfId="0" applyFont="1" applyAlignment="1">
      <alignment horizontal="right" vertical="top" wrapText="1"/>
    </xf>
    <xf numFmtId="0" fontId="7" fillId="0" borderId="0" xfId="0" applyFont="1" applyAlignment="1">
      <alignment horizontal="center" vertical="top" wrapText="1"/>
    </xf>
    <xf numFmtId="0" fontId="16" fillId="0" borderId="0" xfId="4" applyFont="1" applyAlignment="1"/>
    <xf numFmtId="0" fontId="11" fillId="0" borderId="6" xfId="0" applyFont="1" applyBorder="1" applyAlignment="1"/>
    <xf numFmtId="0" fontId="12" fillId="0" borderId="0" xfId="4" applyAlignment="1">
      <alignment horizontal="left"/>
    </xf>
    <xf numFmtId="0" fontId="11" fillId="0" borderId="0" xfId="4" applyFont="1" applyAlignment="1">
      <alignment vertical="top" wrapText="1"/>
    </xf>
    <xf numFmtId="0" fontId="19" fillId="0" borderId="0" xfId="0" applyFont="1" applyAlignment="1">
      <alignment horizontal="left"/>
    </xf>
    <xf numFmtId="0" fontId="12" fillId="0" borderId="0" xfId="2" applyFont="1"/>
    <xf numFmtId="0" fontId="10" fillId="0" borderId="0" xfId="2" applyFont="1" applyAlignment="1">
      <alignment horizontal="center"/>
    </xf>
    <xf numFmtId="0" fontId="14" fillId="0" borderId="0" xfId="2" applyFont="1"/>
    <xf numFmtId="0" fontId="29" fillId="0" borderId="0" xfId="0" applyFont="1" applyAlignment="1">
      <alignment vertical="top" wrapText="1"/>
    </xf>
    <xf numFmtId="0" fontId="12" fillId="0" borderId="1" xfId="0" applyFont="1" applyBorder="1" applyAlignment="1">
      <alignment horizontal="center" vertical="center"/>
    </xf>
    <xf numFmtId="0" fontId="7" fillId="0" borderId="8" xfId="0" applyFont="1" applyBorder="1" applyAlignment="1">
      <alignment vertical="top" wrapText="1"/>
    </xf>
    <xf numFmtId="0" fontId="0" fillId="0" borderId="0" xfId="0" applyAlignment="1">
      <alignment horizontal="center"/>
    </xf>
    <xf numFmtId="0" fontId="11" fillId="0" borderId="0" xfId="0" applyFont="1" applyBorder="1" applyAlignment="1"/>
    <xf numFmtId="0" fontId="12" fillId="0" borderId="0" xfId="0" applyFont="1" applyBorder="1" applyAlignment="1"/>
    <xf numFmtId="0" fontId="20" fillId="0" borderId="0" xfId="0" applyFont="1" applyAlignment="1">
      <alignment horizontal="center"/>
    </xf>
    <xf numFmtId="0" fontId="12" fillId="0" borderId="0" xfId="4" applyFont="1"/>
    <xf numFmtId="0" fontId="22" fillId="0" borderId="0" xfId="0" applyFont="1" applyAlignment="1">
      <alignment horizontal="center" vertical="top" wrapText="1"/>
    </xf>
    <xf numFmtId="0" fontId="12" fillId="0" borderId="0" xfId="5"/>
    <xf numFmtId="0" fontId="22" fillId="0" borderId="0" xfId="5" applyFont="1"/>
    <xf numFmtId="0" fontId="22" fillId="0" borderId="1" xfId="5" applyFont="1" applyBorder="1"/>
    <xf numFmtId="0" fontId="22" fillId="0" borderId="0" xfId="5" applyFont="1" applyBorder="1"/>
    <xf numFmtId="0" fontId="7" fillId="0" borderId="0" xfId="5" applyFont="1"/>
    <xf numFmtId="0" fontId="12" fillId="0" borderId="0" xfId="5" applyFill="1" applyBorder="1" applyAlignment="1">
      <alignment horizontal="left"/>
    </xf>
    <xf numFmtId="0" fontId="12" fillId="0" borderId="0" xfId="5" applyAlignment="1">
      <alignment horizontal="left"/>
    </xf>
    <xf numFmtId="0" fontId="12" fillId="0" borderId="0" xfId="6"/>
    <xf numFmtId="0" fontId="8" fillId="0" borderId="0" xfId="6" applyFont="1" applyAlignment="1">
      <alignment horizontal="right"/>
    </xf>
    <xf numFmtId="0" fontId="20" fillId="0" borderId="1" xfId="6" applyFont="1" applyBorder="1" applyAlignment="1">
      <alignment horizontal="center" vertical="center" wrapText="1"/>
    </xf>
    <xf numFmtId="0" fontId="7" fillId="0" borderId="1" xfId="6" applyFont="1" applyBorder="1" applyAlignment="1">
      <alignment horizontal="center" vertical="center"/>
    </xf>
    <xf numFmtId="0" fontId="18" fillId="0" borderId="0" xfId="6" applyFont="1" applyAlignment="1">
      <alignment horizontal="left"/>
    </xf>
    <xf numFmtId="0" fontId="69" fillId="0" borderId="0" xfId="0" applyFont="1" applyAlignment="1">
      <alignment horizontal="center"/>
    </xf>
    <xf numFmtId="0" fontId="36" fillId="0" borderId="0" xfId="0" applyFont="1"/>
    <xf numFmtId="0" fontId="37" fillId="0" borderId="0" xfId="0" applyFont="1" applyBorder="1" applyAlignment="1"/>
    <xf numFmtId="0" fontId="70" fillId="0" borderId="0" xfId="0" applyFont="1"/>
    <xf numFmtId="0" fontId="7" fillId="0" borderId="0" xfId="2" applyFont="1"/>
    <xf numFmtId="0" fontId="7" fillId="0" borderId="0" xfId="2" applyFont="1" applyAlignment="1">
      <alignment horizontal="center" vertical="top" wrapText="1"/>
    </xf>
    <xf numFmtId="0" fontId="7" fillId="0" borderId="0" xfId="2" applyFont="1" applyAlignment="1">
      <alignment horizontal="center"/>
    </xf>
    <xf numFmtId="0" fontId="11" fillId="0" borderId="0" xfId="2" applyFont="1"/>
    <xf numFmtId="0" fontId="7" fillId="0" borderId="0" xfId="2" applyFont="1" applyAlignment="1"/>
    <xf numFmtId="0" fontId="7" fillId="0" borderId="0" xfId="2" applyFont="1" applyBorder="1" applyAlignment="1"/>
    <xf numFmtId="0" fontId="7" fillId="0" borderId="0" xfId="2" applyFont="1" applyBorder="1"/>
    <xf numFmtId="0" fontId="7" fillId="0" borderId="0" xfId="2" applyFont="1" applyBorder="1" applyAlignment="1">
      <alignment horizontal="center" vertical="top" wrapText="1"/>
    </xf>
    <xf numFmtId="0" fontId="20" fillId="0" borderId="0" xfId="2" applyFont="1" applyBorder="1" applyAlignment="1">
      <alignment horizontal="left"/>
    </xf>
    <xf numFmtId="0" fontId="18" fillId="0" borderId="0" xfId="2" applyFont="1" applyBorder="1" applyAlignment="1"/>
    <xf numFmtId="0" fontId="7" fillId="0" borderId="0" xfId="2" applyFont="1" applyAlignment="1">
      <alignment vertical="top" wrapText="1"/>
    </xf>
    <xf numFmtId="0" fontId="7" fillId="0" borderId="0" xfId="2" applyFont="1" applyBorder="1" applyAlignment="1">
      <alignment horizontal="left" vertical="center"/>
    </xf>
    <xf numFmtId="0" fontId="7" fillId="0" borderId="0" xfId="2" applyFont="1" applyAlignment="1">
      <alignment horizontal="left" vertical="center"/>
    </xf>
    <xf numFmtId="0" fontId="34" fillId="0" borderId="0" xfId="0" applyFont="1" applyAlignment="1"/>
    <xf numFmtId="0" fontId="35" fillId="0" borderId="0" xfId="0" applyFont="1" applyAlignment="1"/>
    <xf numFmtId="0" fontId="71" fillId="0" borderId="0" xfId="0" applyFont="1" applyBorder="1" applyAlignment="1">
      <alignment vertical="top"/>
    </xf>
    <xf numFmtId="0" fontId="72" fillId="0" borderId="1" xfId="0" applyFont="1" applyBorder="1" applyAlignment="1">
      <alignment horizontal="center" vertical="center" wrapText="1"/>
    </xf>
    <xf numFmtId="0" fontId="73" fillId="0" borderId="0" xfId="0" applyFont="1" applyAlignment="1">
      <alignment horizontal="center"/>
    </xf>
    <xf numFmtId="0" fontId="74" fillId="0" borderId="0" xfId="0" applyFont="1" applyBorder="1" applyAlignment="1">
      <alignment horizontal="center" vertical="center"/>
    </xf>
    <xf numFmtId="0" fontId="68" fillId="0" borderId="0" xfId="0" applyFont="1"/>
    <xf numFmtId="0" fontId="75" fillId="0" borderId="0" xfId="0" applyFont="1" applyBorder="1" applyAlignment="1">
      <alignment horizontal="left" vertical="center" wrapText="1" indent="2"/>
    </xf>
    <xf numFmtId="0" fontId="75" fillId="0" borderId="0" xfId="0" applyFont="1" applyBorder="1" applyAlignment="1">
      <alignment vertical="center" wrapText="1"/>
    </xf>
    <xf numFmtId="0" fontId="75" fillId="0" borderId="1" xfId="0" applyFont="1" applyBorder="1" applyAlignment="1">
      <alignment horizontal="center" vertical="center" wrapText="1"/>
    </xf>
    <xf numFmtId="0" fontId="76" fillId="0" borderId="1" xfId="0" applyFont="1" applyBorder="1"/>
    <xf numFmtId="0" fontId="76" fillId="2" borderId="1" xfId="0" applyFont="1" applyFill="1" applyBorder="1"/>
    <xf numFmtId="2" fontId="12" fillId="0" borderId="0" xfId="0" applyNumberFormat="1" applyFont="1"/>
    <xf numFmtId="0" fontId="20" fillId="0" borderId="0" xfId="0" applyFont="1" applyAlignment="1">
      <alignment vertical="top" wrapText="1"/>
    </xf>
    <xf numFmtId="0" fontId="20" fillId="0" borderId="0" xfId="4" applyFont="1"/>
    <xf numFmtId="0" fontId="7" fillId="0" borderId="9" xfId="4" applyFont="1" applyBorder="1" applyAlignment="1">
      <alignment horizontal="center"/>
    </xf>
    <xf numFmtId="0" fontId="7" fillId="0" borderId="10" xfId="4" applyFont="1" applyBorder="1" applyAlignment="1">
      <alignment horizontal="center"/>
    </xf>
    <xf numFmtId="0" fontId="7" fillId="0" borderId="10" xfId="4" applyFont="1" applyBorder="1" applyAlignment="1">
      <alignment horizontal="center" vertical="center" wrapText="1"/>
    </xf>
    <xf numFmtId="0" fontId="7" fillId="0" borderId="9" xfId="4" applyFont="1" applyBorder="1" applyAlignment="1">
      <alignment horizontal="center" vertical="center" wrapText="1"/>
    </xf>
    <xf numFmtId="0" fontId="7" fillId="0" borderId="10" xfId="4" applyFont="1" applyBorder="1" applyAlignment="1">
      <alignment horizontal="center" vertical="center"/>
    </xf>
    <xf numFmtId="0" fontId="7" fillId="0" borderId="9" xfId="4" applyFont="1" applyBorder="1" applyAlignment="1">
      <alignment horizontal="center" vertical="center"/>
    </xf>
    <xf numFmtId="0" fontId="12" fillId="0" borderId="11" xfId="4" applyFont="1" applyBorder="1"/>
    <xf numFmtId="165" fontId="12" fillId="0" borderId="6" xfId="4" applyNumberFormat="1" applyBorder="1"/>
    <xf numFmtId="165" fontId="12" fillId="0" borderId="11" xfId="4" applyNumberFormat="1" applyBorder="1"/>
    <xf numFmtId="49" fontId="12" fillId="0" borderId="11" xfId="4" applyNumberFormat="1" applyFont="1" applyBorder="1"/>
    <xf numFmtId="0" fontId="12" fillId="0" borderId="12" xfId="4" applyFont="1" applyBorder="1"/>
    <xf numFmtId="165" fontId="12" fillId="0" borderId="7" xfId="4" applyNumberFormat="1" applyBorder="1"/>
    <xf numFmtId="165" fontId="12" fillId="0" borderId="12" xfId="4" applyNumberFormat="1" applyBorder="1"/>
    <xf numFmtId="0" fontId="12" fillId="0" borderId="12" xfId="4" applyBorder="1" applyAlignment="1">
      <alignment horizontal="left"/>
    </xf>
    <xf numFmtId="165" fontId="12" fillId="0" borderId="13" xfId="4" applyNumberFormat="1" applyBorder="1"/>
    <xf numFmtId="165" fontId="12" fillId="0" borderId="14" xfId="4" applyNumberFormat="1" applyBorder="1"/>
    <xf numFmtId="0" fontId="12" fillId="0" borderId="14" xfId="4" applyBorder="1"/>
    <xf numFmtId="0" fontId="12" fillId="0" borderId="14" xfId="4" applyBorder="1" applyAlignment="1">
      <alignment horizontal="center"/>
    </xf>
    <xf numFmtId="0" fontId="12" fillId="0" borderId="13" xfId="4" applyBorder="1"/>
    <xf numFmtId="0" fontId="7" fillId="0" borderId="15" xfId="4" applyFont="1" applyBorder="1" applyAlignment="1">
      <alignment horizontal="center"/>
    </xf>
    <xf numFmtId="0" fontId="7" fillId="0" borderId="9" xfId="4" applyFont="1" applyBorder="1"/>
    <xf numFmtId="0" fontId="7" fillId="0" borderId="10" xfId="4" applyFont="1" applyBorder="1"/>
    <xf numFmtId="165" fontId="7" fillId="0" borderId="9" xfId="4" applyNumberFormat="1" applyFont="1" applyBorder="1"/>
    <xf numFmtId="165" fontId="7" fillId="0" borderId="10" xfId="4" applyNumberFormat="1" applyFont="1" applyBorder="1"/>
    <xf numFmtId="0" fontId="7" fillId="0" borderId="16" xfId="4" applyFont="1" applyBorder="1"/>
    <xf numFmtId="49" fontId="12" fillId="0" borderId="12" xfId="4" applyNumberFormat="1" applyFont="1" applyBorder="1" applyAlignment="1">
      <alignment horizontal="center" vertical="center" wrapText="1"/>
    </xf>
    <xf numFmtId="49" fontId="12" fillId="0" borderId="11" xfId="4" applyNumberFormat="1" applyFont="1" applyBorder="1" applyAlignment="1">
      <alignment horizontal="center" vertical="center" wrapText="1"/>
    </xf>
    <xf numFmtId="0" fontId="26" fillId="0" borderId="0" xfId="2" applyFont="1"/>
    <xf numFmtId="0" fontId="12" fillId="0" borderId="14" xfId="4" applyFont="1" applyBorder="1"/>
    <xf numFmtId="2" fontId="77" fillId="0" borderId="0" xfId="4" applyNumberFormat="1" applyFont="1"/>
    <xf numFmtId="0" fontId="18" fillId="0" borderId="1" xfId="6" applyFont="1" applyBorder="1" applyAlignment="1">
      <alignment horizontal="center" vertical="center" wrapText="1"/>
    </xf>
    <xf numFmtId="2" fontId="18" fillId="0" borderId="1" xfId="6" applyNumberFormat="1" applyFont="1" applyBorder="1" applyAlignment="1">
      <alignment horizontal="center" vertical="center" wrapText="1"/>
    </xf>
    <xf numFmtId="0" fontId="11" fillId="2" borderId="1" xfId="2" quotePrefix="1" applyFont="1" applyFill="1" applyBorder="1" applyAlignment="1">
      <alignment horizontal="center" vertical="center" wrapText="1"/>
    </xf>
    <xf numFmtId="0" fontId="44" fillId="2" borderId="2" xfId="2" quotePrefix="1" applyFont="1" applyFill="1" applyBorder="1" applyAlignment="1">
      <alignment horizontal="center" vertical="center" wrapText="1"/>
    </xf>
    <xf numFmtId="0" fontId="11" fillId="0" borderId="1" xfId="2" applyFont="1" applyBorder="1" applyAlignment="1">
      <alignment horizontal="center" vertical="center"/>
    </xf>
    <xf numFmtId="0" fontId="12" fillId="0" borderId="0" xfId="2" applyFont="1" applyBorder="1" applyAlignment="1"/>
    <xf numFmtId="0" fontId="11" fillId="0" borderId="0" xfId="2" applyFont="1" applyBorder="1" applyAlignment="1">
      <alignment horizontal="right"/>
    </xf>
    <xf numFmtId="0" fontId="11" fillId="0" borderId="0" xfId="2" applyFont="1" applyBorder="1"/>
    <xf numFmtId="0" fontId="11" fillId="0" borderId="0" xfId="0" applyFont="1" applyAlignment="1">
      <alignment horizontal="right" vertical="top" wrapText="1"/>
    </xf>
    <xf numFmtId="0" fontId="7" fillId="0" borderId="0" xfId="2" applyFont="1" applyAlignment="1">
      <alignment horizontal="left"/>
    </xf>
    <xf numFmtId="0" fontId="8" fillId="0" borderId="0" xfId="5" applyFont="1" applyAlignment="1"/>
    <xf numFmtId="0" fontId="33" fillId="0" borderId="0" xfId="0" applyFont="1" applyAlignment="1">
      <alignment vertical="top" wrapText="1"/>
    </xf>
    <xf numFmtId="0" fontId="47" fillId="0" borderId="0" xfId="2" applyFont="1"/>
    <xf numFmtId="0" fontId="46" fillId="0" borderId="0" xfId="4" applyFont="1"/>
    <xf numFmtId="0" fontId="46" fillId="0" borderId="0" xfId="0" applyFont="1"/>
    <xf numFmtId="0" fontId="7" fillId="0" borderId="0" xfId="0" applyFont="1" applyBorder="1" applyAlignment="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78" fillId="0" borderId="0" xfId="0" applyFont="1" applyBorder="1"/>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 fontId="12" fillId="0" borderId="0" xfId="0" applyNumberFormat="1" applyFont="1"/>
    <xf numFmtId="2" fontId="12" fillId="0" borderId="1" xfId="0" applyNumberFormat="1" applyFont="1" applyBorder="1" applyAlignment="1">
      <alignment horizontal="center" vertical="center"/>
    </xf>
    <xf numFmtId="2" fontId="7" fillId="0" borderId="1" xfId="0" applyNumberFormat="1" applyFont="1" applyBorder="1" applyAlignment="1">
      <alignment horizontal="center" vertical="center"/>
    </xf>
    <xf numFmtId="0" fontId="18" fillId="0" borderId="1" xfId="0" applyFont="1" applyBorder="1" applyAlignment="1">
      <alignment horizontal="center" vertical="center"/>
    </xf>
    <xf numFmtId="2" fontId="12" fillId="0" borderId="1" xfId="2" applyNumberFormat="1" applyFont="1" applyBorder="1" applyAlignment="1">
      <alignment horizontal="center" vertical="center"/>
    </xf>
    <xf numFmtId="2" fontId="7" fillId="0" borderId="1" xfId="2" applyNumberFormat="1"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2" xfId="0" applyFont="1" applyBorder="1" applyAlignment="1">
      <alignment horizontal="center" vertical="center"/>
    </xf>
    <xf numFmtId="0" fontId="7" fillId="0" borderId="19" xfId="4" applyFont="1" applyBorder="1" applyAlignment="1">
      <alignment horizontal="center" vertical="center" wrapText="1"/>
    </xf>
    <xf numFmtId="0" fontId="7" fillId="0" borderId="2" xfId="4" applyFont="1" applyBorder="1" applyAlignment="1">
      <alignment horizontal="center" vertical="center" wrapText="1"/>
    </xf>
    <xf numFmtId="0" fontId="7"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5" xfId="0" applyFont="1" applyBorder="1" applyAlignment="1">
      <alignment horizontal="center" vertical="center"/>
    </xf>
    <xf numFmtId="0" fontId="12" fillId="0" borderId="21" xfId="0" applyFont="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7" fillId="0" borderId="20" xfId="0" applyFont="1" applyBorder="1" applyAlignment="1">
      <alignment horizontal="center" vertical="center"/>
    </xf>
    <xf numFmtId="2" fontId="12" fillId="0" borderId="5" xfId="0" applyNumberFormat="1" applyFont="1" applyBorder="1" applyAlignment="1">
      <alignment horizontal="center" vertical="center"/>
    </xf>
    <xf numFmtId="2" fontId="12" fillId="0" borderId="21" xfId="0" applyNumberFormat="1" applyFont="1" applyBorder="1" applyAlignment="1">
      <alignment horizontal="center" vertical="center"/>
    </xf>
    <xf numFmtId="2" fontId="12" fillId="0" borderId="12" xfId="0" applyNumberFormat="1" applyFont="1" applyBorder="1" applyAlignment="1">
      <alignment horizontal="center" vertical="center"/>
    </xf>
    <xf numFmtId="0" fontId="38" fillId="0" borderId="1" xfId="0" quotePrefix="1" applyFont="1" applyBorder="1" applyAlignment="1">
      <alignment horizontal="center" vertical="center" wrapText="1"/>
    </xf>
    <xf numFmtId="0" fontId="76" fillId="0" borderId="1" xfId="0" applyFont="1" applyBorder="1" applyAlignment="1">
      <alignment horizontal="center" vertical="center"/>
    </xf>
    <xf numFmtId="0" fontId="12" fillId="2" borderId="1" xfId="0" applyFont="1" applyFill="1" applyBorder="1" applyAlignment="1">
      <alignment horizontal="center" vertical="center"/>
    </xf>
    <xf numFmtId="0" fontId="76" fillId="2" borderId="1" xfId="0" applyFont="1" applyFill="1" applyBorder="1" applyAlignment="1">
      <alignment horizontal="center" vertical="center"/>
    </xf>
    <xf numFmtId="0" fontId="7" fillId="0" borderId="22" xfId="0" applyFont="1" applyBorder="1" applyAlignment="1">
      <alignment horizontal="center" vertical="center" wrapText="1"/>
    </xf>
    <xf numFmtId="0" fontId="12" fillId="0" borderId="3" xfId="0" applyFont="1" applyBorder="1" applyAlignment="1">
      <alignment horizontal="center" vertical="center"/>
    </xf>
    <xf numFmtId="0" fontId="7" fillId="0" borderId="1" xfId="2" applyFont="1" applyBorder="1" applyAlignment="1">
      <alignment horizontal="center" vertical="center" wrapText="1"/>
    </xf>
    <xf numFmtId="0" fontId="79"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7" fillId="0" borderId="1" xfId="4" applyFont="1" applyBorder="1" applyAlignment="1">
      <alignment horizontal="center" vertical="center"/>
    </xf>
    <xf numFmtId="0" fontId="7" fillId="0" borderId="1" xfId="2" applyFont="1" applyBorder="1" applyAlignment="1">
      <alignment horizontal="center" vertical="center"/>
    </xf>
    <xf numFmtId="0" fontId="79" fillId="0" borderId="3" xfId="0" applyFont="1" applyBorder="1" applyAlignment="1">
      <alignment horizontal="center" vertical="center" wrapText="1"/>
    </xf>
    <xf numFmtId="49" fontId="79" fillId="0" borderId="3" xfId="0" applyNumberFormat="1" applyFont="1" applyBorder="1" applyAlignment="1">
      <alignment horizontal="center" vertical="center" wrapText="1"/>
    </xf>
    <xf numFmtId="164" fontId="77" fillId="0" borderId="0" xfId="4" applyNumberFormat="1" applyFont="1"/>
    <xf numFmtId="0" fontId="7" fillId="0" borderId="3" xfId="0" applyFont="1" applyBorder="1" applyAlignment="1">
      <alignment horizontal="center" vertical="center"/>
    </xf>
    <xf numFmtId="0" fontId="7" fillId="0" borderId="23" xfId="0" applyFont="1" applyBorder="1" applyAlignment="1">
      <alignment horizontal="center" vertical="center" wrapText="1"/>
    </xf>
    <xf numFmtId="0" fontId="12" fillId="0" borderId="24" xfId="0" applyFont="1" applyBorder="1" applyAlignment="1">
      <alignment horizontal="center" vertical="center"/>
    </xf>
    <xf numFmtId="0" fontId="68" fillId="0" borderId="1" xfId="0" applyFont="1" applyBorder="1" applyAlignment="1">
      <alignment horizontal="center" vertical="center" wrapText="1"/>
    </xf>
    <xf numFmtId="0" fontId="12" fillId="0" borderId="1" xfId="2" applyFont="1" applyBorder="1" applyAlignment="1">
      <alignment horizontal="center" vertical="center" wrapText="1"/>
    </xf>
    <xf numFmtId="0" fontId="15" fillId="0" borderId="1" xfId="0" applyFont="1" applyBorder="1" applyAlignment="1">
      <alignment horizontal="center" vertical="center" wrapText="1"/>
    </xf>
    <xf numFmtId="0" fontId="7" fillId="0" borderId="0" xfId="0" applyFont="1" applyAlignment="1">
      <alignment horizontal="center" vertical="center"/>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1" fontId="12" fillId="0" borderId="4" xfId="0" applyNumberFormat="1" applyFont="1" applyBorder="1" applyAlignment="1">
      <alignment horizontal="center" vertical="center"/>
    </xf>
    <xf numFmtId="1" fontId="7" fillId="0" borderId="1" xfId="0" applyNumberFormat="1" applyFont="1" applyBorder="1" applyAlignment="1">
      <alignment horizontal="center" vertical="center"/>
    </xf>
    <xf numFmtId="0" fontId="22" fillId="0" borderId="1" xfId="2" applyFont="1" applyBorder="1" applyAlignment="1">
      <alignment horizontal="center" vertical="center"/>
    </xf>
    <xf numFmtId="0" fontId="22" fillId="0" borderId="1" xfId="0" applyFont="1" applyBorder="1" applyAlignment="1">
      <alignment horizontal="center" vertical="center" wrapText="1"/>
    </xf>
    <xf numFmtId="2" fontId="12" fillId="0" borderId="0" xfId="0" applyNumberFormat="1" applyFont="1" applyAlignment="1">
      <alignment horizontal="center" vertical="center"/>
    </xf>
    <xf numFmtId="0" fontId="22" fillId="0" borderId="1" xfId="0" applyFont="1" applyBorder="1" applyAlignment="1">
      <alignment horizontal="center" vertical="center"/>
    </xf>
    <xf numFmtId="2" fontId="0" fillId="0" borderId="1" xfId="0" applyNumberFormat="1" applyBorder="1" applyAlignment="1">
      <alignment horizontal="center" vertical="center"/>
    </xf>
    <xf numFmtId="0" fontId="28"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1" fontId="12" fillId="0" borderId="1" xfId="0" applyNumberFormat="1" applyFont="1" applyBorder="1" applyAlignment="1">
      <alignment horizontal="center" vertical="center"/>
    </xf>
    <xf numFmtId="2" fontId="12" fillId="0" borderId="1" xfId="0" applyNumberFormat="1" applyFont="1" applyBorder="1" applyAlignment="1">
      <alignment horizontal="center" vertical="center" wrapText="1"/>
    </xf>
    <xf numFmtId="0" fontId="80" fillId="0" borderId="1" xfId="0" applyFont="1" applyBorder="1" applyAlignment="1">
      <alignment horizontal="center" vertical="center"/>
    </xf>
    <xf numFmtId="0" fontId="30" fillId="0" borderId="1" xfId="2" applyFont="1" applyBorder="1" applyAlignment="1">
      <alignment horizontal="center" vertical="center" wrapText="1"/>
    </xf>
    <xf numFmtId="0" fontId="40" fillId="0" borderId="1" xfId="2" applyFont="1" applyBorder="1" applyAlignment="1">
      <alignment horizontal="center" vertical="center" wrapText="1"/>
    </xf>
    <xf numFmtId="0" fontId="30" fillId="0" borderId="23" xfId="2" applyFont="1" applyBorder="1" applyAlignment="1">
      <alignment horizontal="center" vertical="center"/>
    </xf>
    <xf numFmtId="0" fontId="30" fillId="0" borderId="25" xfId="2" applyFont="1" applyBorder="1" applyAlignment="1">
      <alignment horizontal="center" vertical="center" wrapText="1"/>
    </xf>
    <xf numFmtId="0" fontId="30" fillId="0" borderId="1" xfId="2" applyFont="1" applyBorder="1" applyAlignment="1">
      <alignment horizontal="center" vertical="center"/>
    </xf>
    <xf numFmtId="0" fontId="12" fillId="0" borderId="1" xfId="2" applyFont="1" applyBorder="1" applyAlignment="1">
      <alignment horizontal="center" vertical="center"/>
    </xf>
    <xf numFmtId="0" fontId="26" fillId="0" borderId="1" xfId="2" applyFont="1" applyBorder="1" applyAlignment="1">
      <alignment horizontal="center" vertical="center"/>
    </xf>
    <xf numFmtId="0" fontId="7" fillId="0" borderId="1" xfId="4" applyFont="1" applyBorder="1" applyAlignment="1">
      <alignment horizontal="center" vertical="center" wrapText="1"/>
    </xf>
    <xf numFmtId="0" fontId="12" fillId="0" borderId="1" xfId="4" applyFont="1" applyBorder="1" applyAlignment="1">
      <alignment horizontal="center" vertical="center" wrapText="1"/>
    </xf>
    <xf numFmtId="0" fontId="12" fillId="0" borderId="1" xfId="4" applyBorder="1" applyAlignment="1">
      <alignment horizontal="center" vertical="center"/>
    </xf>
    <xf numFmtId="0" fontId="12" fillId="0" borderId="1" xfId="4" applyFont="1" applyBorder="1" applyAlignment="1">
      <alignment horizontal="center" vertical="center"/>
    </xf>
    <xf numFmtId="0" fontId="7" fillId="0" borderId="1" xfId="5" applyFont="1" applyBorder="1" applyAlignment="1">
      <alignment horizontal="center" vertical="center" wrapText="1"/>
    </xf>
    <xf numFmtId="0" fontId="7" fillId="0" borderId="3" xfId="5" applyFont="1" applyBorder="1" applyAlignment="1">
      <alignment horizontal="center" vertical="center" wrapText="1"/>
    </xf>
    <xf numFmtId="0" fontId="7" fillId="0" borderId="7" xfId="5" applyFont="1" applyBorder="1" applyAlignment="1">
      <alignment horizontal="center" vertical="center" wrapText="1"/>
    </xf>
    <xf numFmtId="0" fontId="7" fillId="0" borderId="4" xfId="5" applyFont="1" applyBorder="1" applyAlignment="1">
      <alignment horizontal="center" vertical="center" wrapText="1"/>
    </xf>
    <xf numFmtId="0" fontId="7" fillId="0" borderId="1" xfId="5" applyFont="1" applyBorder="1" applyAlignment="1">
      <alignment horizontal="center" vertical="center"/>
    </xf>
    <xf numFmtId="0" fontId="7" fillId="2" borderId="1" xfId="2" applyFont="1" applyFill="1" applyBorder="1" applyAlignment="1">
      <alignment horizontal="center" vertical="center"/>
    </xf>
    <xf numFmtId="0" fontId="38" fillId="0" borderId="1" xfId="0" applyFont="1" applyBorder="1" applyAlignment="1">
      <alignment horizontal="center" vertical="center" wrapText="1"/>
    </xf>
    <xf numFmtId="0" fontId="11" fillId="0" borderId="1" xfId="2" applyFont="1" applyBorder="1" applyAlignment="1">
      <alignment horizontal="center" vertical="center" wrapText="1"/>
    </xf>
    <xf numFmtId="0" fontId="17" fillId="0" borderId="1" xfId="2" applyFont="1" applyBorder="1" applyAlignment="1">
      <alignment horizontal="center" vertical="center"/>
    </xf>
    <xf numFmtId="0" fontId="81" fillId="0" borderId="1" xfId="0" applyFont="1" applyBorder="1" applyAlignment="1">
      <alignment horizontal="center" vertical="center" wrapText="1"/>
    </xf>
    <xf numFmtId="0" fontId="68" fillId="0" borderId="3" xfId="0" applyFont="1" applyBorder="1" applyAlignment="1">
      <alignment horizontal="center" vertical="center" wrapText="1"/>
    </xf>
    <xf numFmtId="2" fontId="12" fillId="0" borderId="0" xfId="5" applyNumberFormat="1"/>
    <xf numFmtId="0" fontId="7" fillId="0" borderId="26"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top" wrapText="1"/>
    </xf>
    <xf numFmtId="0" fontId="18" fillId="0" borderId="0" xfId="0" applyFont="1" applyBorder="1" applyAlignment="1">
      <alignment horizontal="center"/>
    </xf>
    <xf numFmtId="0" fontId="20" fillId="0" borderId="0" xfId="0" applyFont="1" applyBorder="1" applyAlignment="1">
      <alignment horizontal="center"/>
    </xf>
    <xf numFmtId="0" fontId="7" fillId="0" borderId="6" xfId="0" applyFont="1" applyBorder="1" applyAlignment="1">
      <alignment horizontal="center" vertical="center"/>
    </xf>
    <xf numFmtId="0" fontId="0" fillId="0" borderId="0" xfId="0" applyAlignment="1"/>
    <xf numFmtId="0" fontId="12" fillId="0" borderId="0" xfId="0" applyFont="1" applyAlignment="1">
      <alignment vertical="center"/>
    </xf>
    <xf numFmtId="0" fontId="12" fillId="0" borderId="3" xfId="0" applyFont="1" applyBorder="1"/>
    <xf numFmtId="0" fontId="19" fillId="0" borderId="0" xfId="0" applyFont="1" applyAlignment="1"/>
    <xf numFmtId="0" fontId="19" fillId="0" borderId="0" xfId="0" applyFont="1" applyAlignment="1">
      <alignment horizontal="center"/>
    </xf>
    <xf numFmtId="0" fontId="0" fillId="0" borderId="1" xfId="0" applyFill="1" applyBorder="1" applyAlignment="1">
      <alignment horizontal="center" vertical="center"/>
    </xf>
    <xf numFmtId="0" fontId="0" fillId="0" borderId="1" xfId="0" applyBorder="1" applyAlignment="1">
      <alignment horizontal="center"/>
    </xf>
    <xf numFmtId="0" fontId="0" fillId="0" borderId="1" xfId="0" quotePrefix="1" applyBorder="1" applyAlignment="1">
      <alignment horizontal="center"/>
    </xf>
    <xf numFmtId="0" fontId="7" fillId="2" borderId="1" xfId="0" applyFont="1" applyFill="1" applyBorder="1" applyAlignment="1">
      <alignment horizontal="center" vertical="center" wrapText="1"/>
    </xf>
    <xf numFmtId="0" fontId="26" fillId="0" borderId="23" xfId="2" applyFont="1" applyBorder="1" applyAlignment="1">
      <alignment horizontal="center" vertical="top" wrapText="1"/>
    </xf>
    <xf numFmtId="0" fontId="7" fillId="0" borderId="1" xfId="4" applyFont="1" applyBorder="1" applyAlignment="1">
      <alignment horizontal="center" vertical="top" wrapText="1"/>
    </xf>
    <xf numFmtId="0" fontId="22" fillId="0" borderId="0" xfId="4" applyFont="1" applyAlignment="1">
      <alignment horizontal="right"/>
    </xf>
    <xf numFmtId="0" fontId="12" fillId="0" borderId="1" xfId="4" applyBorder="1"/>
    <xf numFmtId="0" fontId="69" fillId="0" borderId="1" xfId="0" applyFont="1" applyBorder="1" applyAlignment="1">
      <alignment horizontal="center"/>
    </xf>
    <xf numFmtId="0" fontId="82" fillId="0" borderId="23" xfId="0" applyFont="1" applyBorder="1" applyAlignment="1">
      <alignment vertical="center" wrapText="1"/>
    </xf>
    <xf numFmtId="0" fontId="82" fillId="0" borderId="1" xfId="0" applyFont="1" applyBorder="1" applyAlignment="1">
      <alignment vertical="center" wrapText="1"/>
    </xf>
    <xf numFmtId="0" fontId="38" fillId="0" borderId="1" xfId="0" quotePrefix="1" applyFont="1" applyBorder="1" applyAlignment="1">
      <alignment horizontal="center" vertical="top" wrapText="1"/>
    </xf>
    <xf numFmtId="0" fontId="7" fillId="0" borderId="7" xfId="0" applyFont="1" applyBorder="1" applyAlignment="1">
      <alignment horizontal="center" vertical="center"/>
    </xf>
    <xf numFmtId="0" fontId="12" fillId="0" borderId="0" xfId="0" applyFont="1" applyAlignment="1">
      <alignment horizontal="center"/>
    </xf>
    <xf numFmtId="0" fontId="83" fillId="0" borderId="1" xfId="0" applyFont="1" applyBorder="1" applyAlignment="1">
      <alignment horizontal="center" vertical="center" wrapText="1"/>
    </xf>
    <xf numFmtId="0" fontId="83" fillId="0" borderId="2" xfId="0" applyFont="1" applyBorder="1" applyAlignment="1">
      <alignment horizontal="center" vertical="center" wrapText="1"/>
    </xf>
    <xf numFmtId="2" fontId="7" fillId="0" borderId="5" xfId="0" applyNumberFormat="1" applyFont="1" applyBorder="1" applyAlignment="1">
      <alignment horizontal="center" vertical="center"/>
    </xf>
    <xf numFmtId="2" fontId="7" fillId="0" borderId="7" xfId="0" applyNumberFormat="1" applyFont="1" applyBorder="1" applyAlignment="1">
      <alignment horizontal="center" vertical="center"/>
    </xf>
    <xf numFmtId="2" fontId="7" fillId="0" borderId="12" xfId="0" applyNumberFormat="1" applyFont="1" applyBorder="1" applyAlignment="1">
      <alignment horizontal="center" vertical="center"/>
    </xf>
    <xf numFmtId="2" fontId="7" fillId="0" borderId="4" xfId="0" applyNumberFormat="1" applyFont="1" applyBorder="1" applyAlignment="1">
      <alignment horizontal="center" vertical="center"/>
    </xf>
    <xf numFmtId="2" fontId="7" fillId="0" borderId="7" xfId="0" applyNumberFormat="1" applyFont="1" applyBorder="1" applyAlignment="1">
      <alignment horizontal="center" vertical="center" wrapText="1"/>
    </xf>
    <xf numFmtId="0" fontId="7"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2" fontId="7" fillId="0" borderId="12" xfId="0" applyNumberFormat="1" applyFont="1" applyBorder="1" applyAlignment="1">
      <alignment horizontal="center" vertical="center" wrapText="1"/>
    </xf>
    <xf numFmtId="0" fontId="7" fillId="0" borderId="27" xfId="0" applyFont="1" applyBorder="1" applyAlignment="1">
      <alignment horizontal="center" vertical="center"/>
    </xf>
    <xf numFmtId="2" fontId="12" fillId="0" borderId="23" xfId="0" applyNumberFormat="1" applyFont="1" applyBorder="1" applyAlignment="1">
      <alignment horizontal="center" vertical="center"/>
    </xf>
    <xf numFmtId="2" fontId="12" fillId="0" borderId="28" xfId="0" applyNumberFormat="1" applyFont="1" applyBorder="1" applyAlignment="1">
      <alignment horizontal="center" vertical="center"/>
    </xf>
    <xf numFmtId="2" fontId="7" fillId="0" borderId="11" xfId="0" applyNumberFormat="1" applyFont="1" applyBorder="1" applyAlignment="1">
      <alignment horizontal="center" vertical="center"/>
    </xf>
    <xf numFmtId="0" fontId="7" fillId="0" borderId="0" xfId="0" applyFont="1" applyAlignment="1">
      <alignment vertical="center"/>
    </xf>
    <xf numFmtId="2" fontId="7" fillId="0" borderId="1" xfId="0" applyNumberFormat="1" applyFont="1" applyBorder="1" applyAlignment="1">
      <alignment horizontal="center" vertical="center" wrapText="1"/>
    </xf>
    <xf numFmtId="2" fontId="7" fillId="0" borderId="2"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0" fontId="7" fillId="0" borderId="0" xfId="2" applyFont="1" applyAlignment="1">
      <alignment horizontal="right"/>
    </xf>
    <xf numFmtId="0" fontId="82" fillId="0" borderId="23" xfId="0" applyFont="1" applyBorder="1" applyAlignment="1">
      <alignment horizontal="center" vertical="center" wrapText="1"/>
    </xf>
    <xf numFmtId="0" fontId="84" fillId="0" borderId="1" xfId="0" applyFont="1" applyBorder="1" applyAlignment="1">
      <alignment horizontal="center" vertical="center" wrapText="1"/>
    </xf>
    <xf numFmtId="0" fontId="85" fillId="0" borderId="0" xfId="0" applyFont="1"/>
    <xf numFmtId="0" fontId="7" fillId="0" borderId="1" xfId="2" applyFont="1" applyBorder="1"/>
    <xf numFmtId="0" fontId="7" fillId="0" borderId="0" xfId="2"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86" fillId="0" borderId="1" xfId="0" applyFont="1" applyBorder="1" applyAlignment="1">
      <alignment horizontal="center" vertical="center"/>
    </xf>
    <xf numFmtId="0" fontId="18"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87" fillId="0" borderId="63" xfId="0" applyFont="1" applyFill="1" applyBorder="1" applyAlignment="1">
      <alignment horizontal="center" vertical="center" wrapText="1"/>
    </xf>
    <xf numFmtId="0" fontId="0" fillId="0" borderId="1" xfId="0" applyFont="1" applyFill="1" applyBorder="1" applyAlignment="1">
      <alignment horizontal="center" vertical="center"/>
    </xf>
    <xf numFmtId="0" fontId="87" fillId="0" borderId="1" xfId="0" applyFont="1" applyBorder="1" applyAlignment="1">
      <alignment horizontal="center" vertical="center" wrapText="1" readingOrder="1"/>
    </xf>
    <xf numFmtId="0" fontId="87" fillId="0" borderId="1" xfId="0" applyFont="1" applyBorder="1" applyAlignment="1">
      <alignment horizontal="center" vertical="center" wrapText="1"/>
    </xf>
    <xf numFmtId="0" fontId="12" fillId="0" borderId="0" xfId="2" applyFont="1" applyAlignment="1">
      <alignment horizontal="center" vertical="center"/>
    </xf>
    <xf numFmtId="0" fontId="12" fillId="0" borderId="1" xfId="2" applyFont="1" applyFill="1" applyBorder="1" applyAlignment="1">
      <alignment horizontal="center" vertical="center"/>
    </xf>
    <xf numFmtId="0" fontId="12" fillId="0" borderId="25" xfId="0" applyFont="1" applyFill="1" applyBorder="1" applyAlignment="1">
      <alignment horizontal="center" vertical="center"/>
    </xf>
    <xf numFmtId="0" fontId="18" fillId="0" borderId="1" xfId="0" applyFont="1" applyBorder="1" applyAlignment="1">
      <alignment horizontal="left" vertical="center" wrapText="1"/>
    </xf>
    <xf numFmtId="0" fontId="18" fillId="0" borderId="1" xfId="8" applyFont="1" applyFill="1" applyBorder="1" applyAlignment="1">
      <alignment horizontal="center" vertical="center"/>
    </xf>
    <xf numFmtId="0" fontId="18" fillId="0" borderId="1" xfId="0" applyFont="1" applyFill="1" applyBorder="1" applyAlignment="1">
      <alignment horizontal="center" vertical="center" wrapText="1"/>
    </xf>
    <xf numFmtId="2" fontId="18" fillId="0" borderId="1" xfId="0" applyNumberFormat="1" applyFont="1" applyBorder="1" applyAlignment="1">
      <alignment horizontal="center" vertical="center"/>
    </xf>
    <xf numFmtId="2" fontId="20" fillId="0" borderId="1" xfId="0" applyNumberFormat="1" applyFont="1" applyBorder="1" applyAlignment="1">
      <alignment horizontal="center" vertical="center"/>
    </xf>
    <xf numFmtId="0" fontId="7" fillId="2" borderId="1" xfId="0" applyFont="1" applyFill="1" applyBorder="1" applyAlignment="1">
      <alignment horizontal="center" vertical="center"/>
    </xf>
    <xf numFmtId="0" fontId="7" fillId="2" borderId="0" xfId="0" applyFont="1" applyFill="1" applyBorder="1" applyAlignment="1">
      <alignment horizontal="left"/>
    </xf>
    <xf numFmtId="0" fontId="7" fillId="2" borderId="0" xfId="0" applyFont="1" applyFill="1" applyBorder="1"/>
    <xf numFmtId="0" fontId="12" fillId="2" borderId="0" xfId="0" applyFont="1" applyFill="1" applyBorder="1"/>
    <xf numFmtId="0" fontId="12" fillId="2" borderId="0" xfId="0" applyFont="1" applyFill="1"/>
    <xf numFmtId="0" fontId="7" fillId="2" borderId="0" xfId="0" applyFont="1" applyFill="1"/>
    <xf numFmtId="0" fontId="7" fillId="2" borderId="0" xfId="0" applyFont="1" applyFill="1" applyBorder="1" applyAlignment="1">
      <alignment horizontal="center" vertical="top" wrapText="1"/>
    </xf>
    <xf numFmtId="0" fontId="7" fillId="2" borderId="0" xfId="0" applyFont="1" applyFill="1" applyAlignment="1">
      <alignment horizontal="left"/>
    </xf>
    <xf numFmtId="0" fontId="12" fillId="0" borderId="1" xfId="10" applyNumberFormat="1" applyFont="1" applyFill="1" applyBorder="1" applyAlignment="1">
      <alignment horizontal="center" vertical="center"/>
    </xf>
    <xf numFmtId="0" fontId="18" fillId="0" borderId="1" xfId="4" applyFont="1" applyBorder="1" applyAlignment="1">
      <alignment horizontal="center" vertical="center"/>
    </xf>
    <xf numFmtId="0" fontId="7" fillId="0" borderId="0" xfId="4" applyFont="1" applyBorder="1" applyAlignment="1">
      <alignment horizontal="center" vertical="center"/>
    </xf>
    <xf numFmtId="0" fontId="20" fillId="0" borderId="1" xfId="4" applyFont="1" applyBorder="1" applyAlignment="1">
      <alignment horizontal="center" vertical="center"/>
    </xf>
    <xf numFmtId="0" fontId="88" fillId="0" borderId="1" xfId="0" applyFont="1" applyBorder="1" applyAlignment="1">
      <alignment horizontal="center" vertical="center"/>
    </xf>
    <xf numFmtId="0" fontId="88" fillId="2" borderId="1" xfId="0" applyFont="1" applyFill="1" applyBorder="1" applyAlignment="1">
      <alignment horizontal="center" vertical="center"/>
    </xf>
    <xf numFmtId="2" fontId="12" fillId="2" borderId="1" xfId="0" applyNumberFormat="1" applyFont="1" applyFill="1" applyBorder="1" applyAlignment="1">
      <alignment horizontal="center" vertical="center"/>
    </xf>
    <xf numFmtId="0" fontId="12" fillId="0" borderId="0" xfId="3"/>
    <xf numFmtId="0" fontId="8" fillId="0" borderId="0" xfId="3" applyFont="1" applyAlignment="1">
      <alignment horizontal="right"/>
    </xf>
    <xf numFmtId="0" fontId="8" fillId="0" borderId="0" xfId="3" applyFont="1" applyAlignment="1"/>
    <xf numFmtId="0" fontId="17" fillId="0" borderId="0" xfId="3" applyFont="1" applyAlignment="1"/>
    <xf numFmtId="0" fontId="16" fillId="0" borderId="0" xfId="3" applyFont="1" applyAlignment="1"/>
    <xf numFmtId="0" fontId="12" fillId="0" borderId="0" xfId="3" applyFont="1"/>
    <xf numFmtId="0" fontId="7" fillId="0" borderId="0" xfId="3" applyFont="1"/>
    <xf numFmtId="0" fontId="12" fillId="0" borderId="1" xfId="3" applyFont="1" applyBorder="1"/>
    <xf numFmtId="0" fontId="12" fillId="0" borderId="0" xfId="3" applyFont="1" applyBorder="1"/>
    <xf numFmtId="0" fontId="7" fillId="0" borderId="1" xfId="3" applyFont="1" applyBorder="1" applyAlignment="1">
      <alignment horizontal="center" vertical="top" wrapText="1"/>
    </xf>
    <xf numFmtId="0" fontId="22" fillId="0" borderId="1" xfId="3" applyFont="1" applyBorder="1" applyAlignment="1">
      <alignment horizontal="center" vertical="top"/>
    </xf>
    <xf numFmtId="0" fontId="22" fillId="0" borderId="1" xfId="3" applyFont="1" applyBorder="1" applyAlignment="1">
      <alignment horizontal="center" vertical="top" wrapText="1"/>
    </xf>
    <xf numFmtId="0" fontId="15" fillId="0" borderId="0" xfId="3" applyFont="1" applyBorder="1"/>
    <xf numFmtId="0" fontId="7" fillId="0" borderId="0" xfId="3" applyFont="1" applyBorder="1"/>
    <xf numFmtId="0" fontId="7" fillId="0" borderId="0" xfId="3" applyFont="1" applyBorder="1" applyAlignment="1">
      <alignment horizontal="center"/>
    </xf>
    <xf numFmtId="0" fontId="7" fillId="0" borderId="0" xfId="3" applyFont="1" applyAlignment="1"/>
    <xf numFmtId="0" fontId="7" fillId="0" borderId="0" xfId="3" applyFont="1" applyAlignment="1">
      <alignment horizontal="center" vertical="top" wrapText="1"/>
    </xf>
    <xf numFmtId="0" fontId="20" fillId="0" borderId="0" xfId="2" applyFont="1" applyBorder="1" applyAlignment="1">
      <alignment horizontal="left" vertical="center"/>
    </xf>
    <xf numFmtId="0" fontId="20" fillId="0" borderId="1" xfId="3" applyFont="1" applyBorder="1" applyAlignment="1">
      <alignment horizontal="center" vertical="center"/>
    </xf>
    <xf numFmtId="0" fontId="73" fillId="0" borderId="0" xfId="3" applyFont="1" applyAlignment="1">
      <alignment horizontal="center"/>
    </xf>
    <xf numFmtId="0" fontId="46" fillId="0" borderId="0" xfId="3" applyFont="1"/>
    <xf numFmtId="0" fontId="37" fillId="0" borderId="0" xfId="3" applyFont="1" applyBorder="1" applyAlignment="1"/>
    <xf numFmtId="0" fontId="7" fillId="0" borderId="1" xfId="3" applyFont="1" applyBorder="1" applyAlignment="1">
      <alignment horizontal="center" vertical="top"/>
    </xf>
    <xf numFmtId="0" fontId="38" fillId="0" borderId="1" xfId="3" quotePrefix="1" applyFont="1" applyBorder="1" applyAlignment="1">
      <alignment horizontal="center" vertical="top" wrapText="1"/>
    </xf>
    <xf numFmtId="0" fontId="12" fillId="0" borderId="1" xfId="3" applyBorder="1"/>
    <xf numFmtId="0" fontId="7" fillId="0" borderId="17" xfId="4" applyFont="1" applyBorder="1" applyAlignment="1">
      <alignment horizontal="center" vertical="center" wrapText="1"/>
    </xf>
    <xf numFmtId="0" fontId="7" fillId="0" borderId="20" xfId="4" applyFont="1" applyBorder="1" applyAlignment="1">
      <alignment horizontal="center" vertical="center" wrapText="1"/>
    </xf>
    <xf numFmtId="0" fontId="7" fillId="0" borderId="20" xfId="4" applyFont="1" applyBorder="1" applyAlignment="1">
      <alignment horizontal="center" vertical="center"/>
    </xf>
    <xf numFmtId="0" fontId="13" fillId="0" borderId="20" xfId="4" applyFont="1" applyBorder="1" applyAlignment="1">
      <alignment horizontal="center" vertical="center" wrapText="1"/>
    </xf>
    <xf numFmtId="0" fontId="7" fillId="0" borderId="27" xfId="4" applyFont="1" applyBorder="1" applyAlignment="1">
      <alignment horizontal="center" vertical="center"/>
    </xf>
    <xf numFmtId="0" fontId="7" fillId="0" borderId="20" xfId="4" applyFont="1" applyFill="1" applyBorder="1" applyAlignment="1">
      <alignment horizontal="center" vertical="center" wrapText="1"/>
    </xf>
    <xf numFmtId="0" fontId="7" fillId="0" borderId="29" xfId="4" applyFont="1" applyFill="1" applyBorder="1" applyAlignment="1">
      <alignment horizontal="center" vertical="center" wrapText="1"/>
    </xf>
    <xf numFmtId="2" fontId="7" fillId="0" borderId="30" xfId="0" applyNumberFormat="1"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2" fontId="7" fillId="0" borderId="21" xfId="0" applyNumberFormat="1"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25" xfId="0" applyFont="1" applyBorder="1" applyAlignment="1">
      <alignment horizontal="center" vertical="center"/>
    </xf>
    <xf numFmtId="0" fontId="7" fillId="0" borderId="37" xfId="0" applyFont="1" applyBorder="1" applyAlignment="1">
      <alignment horizontal="center" vertical="center"/>
    </xf>
    <xf numFmtId="0" fontId="7" fillId="0" borderId="38" xfId="4" applyFont="1" applyBorder="1" applyAlignment="1">
      <alignment horizontal="center" vertical="center" wrapText="1"/>
    </xf>
    <xf numFmtId="0" fontId="7" fillId="0" borderId="39" xfId="4" applyFont="1" applyBorder="1" applyAlignment="1">
      <alignment horizontal="center" vertical="center" wrapText="1"/>
    </xf>
    <xf numFmtId="0" fontId="7" fillId="0" borderId="39" xfId="0" applyFont="1" applyBorder="1" applyAlignment="1">
      <alignment horizontal="center" vertical="center"/>
    </xf>
    <xf numFmtId="2" fontId="7" fillId="0" borderId="20" xfId="0" applyNumberFormat="1" applyFont="1" applyBorder="1" applyAlignment="1">
      <alignment horizontal="center" vertical="center"/>
    </xf>
    <xf numFmtId="0" fontId="7" fillId="0" borderId="40" xfId="0" applyFont="1" applyBorder="1" applyAlignment="1">
      <alignment horizontal="center" vertical="center"/>
    </xf>
    <xf numFmtId="2" fontId="7" fillId="0" borderId="17" xfId="0" applyNumberFormat="1" applyFont="1" applyBorder="1" applyAlignment="1">
      <alignment horizontal="center" vertical="center" wrapText="1"/>
    </xf>
    <xf numFmtId="2" fontId="7" fillId="0" borderId="17" xfId="0" applyNumberFormat="1" applyFont="1" applyBorder="1" applyAlignment="1">
      <alignment horizontal="center" vertical="center"/>
    </xf>
    <xf numFmtId="0" fontId="7" fillId="0" borderId="41" xfId="0" applyFont="1" applyBorder="1" applyAlignment="1">
      <alignment horizontal="center" vertical="center"/>
    </xf>
    <xf numFmtId="2" fontId="7" fillId="0" borderId="42" xfId="0" applyNumberFormat="1" applyFont="1" applyBorder="1" applyAlignment="1">
      <alignment horizontal="center" vertical="center"/>
    </xf>
    <xf numFmtId="0" fontId="7" fillId="0" borderId="9" xfId="0" applyFont="1" applyBorder="1" applyAlignment="1">
      <alignment horizontal="center" vertical="center" wrapText="1"/>
    </xf>
    <xf numFmtId="0" fontId="32" fillId="3" borderId="0" xfId="2" applyFont="1" applyFill="1" applyAlignment="1">
      <alignment horizontal="center"/>
    </xf>
    <xf numFmtId="0" fontId="68" fillId="0" borderId="1" xfId="0" applyFont="1" applyBorder="1" applyAlignment="1">
      <alignment horizontal="center" vertical="center" wrapText="1"/>
    </xf>
    <xf numFmtId="0" fontId="67" fillId="0" borderId="1" xfId="1" applyBorder="1" applyAlignment="1" applyProtection="1">
      <alignment horizontal="center" vertical="center" wrapText="1"/>
    </xf>
    <xf numFmtId="0" fontId="75" fillId="0" borderId="1" xfId="0" applyFont="1" applyBorder="1" applyAlignment="1">
      <alignment horizontal="center" vertical="center"/>
    </xf>
    <xf numFmtId="0" fontId="7" fillId="0" borderId="1" xfId="0" applyFont="1" applyFill="1" applyBorder="1" applyAlignment="1">
      <alignment horizontal="center" vertical="center"/>
    </xf>
    <xf numFmtId="2" fontId="18" fillId="0" borderId="1" xfId="0" applyNumberFormat="1" applyFont="1" applyFill="1" applyBorder="1" applyAlignment="1">
      <alignment horizontal="center" vertical="center"/>
    </xf>
    <xf numFmtId="0" fontId="89" fillId="0" borderId="0" xfId="0" applyFont="1" applyAlignment="1">
      <alignment horizontal="center"/>
    </xf>
    <xf numFmtId="0" fontId="12" fillId="0" borderId="0" xfId="0" applyFont="1" applyBorder="1" applyAlignment="1">
      <alignment horizontal="center"/>
    </xf>
    <xf numFmtId="0" fontId="12" fillId="0" borderId="2" xfId="0" applyFont="1" applyBorder="1" applyAlignment="1">
      <alignment horizontal="center" vertical="center"/>
    </xf>
    <xf numFmtId="0" fontId="0" fillId="0" borderId="2" xfId="0" applyBorder="1" applyAlignment="1">
      <alignment horizontal="center" vertical="center"/>
    </xf>
    <xf numFmtId="0" fontId="20" fillId="0" borderId="0" xfId="0" applyFont="1" applyBorder="1"/>
    <xf numFmtId="0" fontId="28" fillId="0" borderId="1" xfId="0" quotePrefix="1" applyFont="1" applyBorder="1" applyAlignment="1">
      <alignment horizontal="center" vertical="center" wrapText="1"/>
    </xf>
    <xf numFmtId="0" fontId="28" fillId="0" borderId="0" xfId="0" applyFont="1"/>
    <xf numFmtId="0" fontId="20" fillId="0" borderId="0" xfId="0" applyFont="1" applyBorder="1" applyAlignment="1">
      <alignment horizontal="center" vertical="center"/>
    </xf>
    <xf numFmtId="0" fontId="20" fillId="0" borderId="1" xfId="0" applyFont="1" applyBorder="1" applyAlignment="1">
      <alignment horizontal="center"/>
    </xf>
    <xf numFmtId="0" fontId="18" fillId="0" borderId="1" xfId="0" applyFont="1" applyBorder="1" applyAlignment="1">
      <alignment horizontal="center"/>
    </xf>
    <xf numFmtId="0" fontId="20" fillId="0" borderId="6" xfId="0" applyFont="1" applyBorder="1" applyAlignment="1">
      <alignment horizontal="center" vertical="center"/>
    </xf>
    <xf numFmtId="0" fontId="20" fillId="0" borderId="0" xfId="0" applyFont="1" applyAlignment="1">
      <alignment horizontal="center" vertical="center"/>
    </xf>
    <xf numFmtId="0" fontId="20" fillId="0" borderId="0" xfId="0" applyFont="1" applyBorder="1" applyAlignment="1">
      <alignment horizontal="center" vertical="top"/>
    </xf>
    <xf numFmtId="0" fontId="20" fillId="0" borderId="0" xfId="0" applyFont="1" applyBorder="1" applyAlignment="1">
      <alignment horizontal="center" vertical="top" wrapText="1"/>
    </xf>
    <xf numFmtId="49" fontId="20" fillId="0" borderId="0" xfId="0" applyNumberFormat="1" applyFont="1" applyBorder="1" applyAlignment="1">
      <alignment horizontal="left" vertical="top"/>
    </xf>
    <xf numFmtId="0" fontId="20" fillId="0" borderId="1" xfId="0" applyFont="1" applyBorder="1" applyAlignment="1">
      <alignment horizontal="center" vertical="top"/>
    </xf>
    <xf numFmtId="0" fontId="20" fillId="0" borderId="0" xfId="0" applyNumberFormat="1" applyFont="1" applyBorder="1" applyAlignment="1">
      <alignment horizontal="left"/>
    </xf>
    <xf numFmtId="0" fontId="20" fillId="0" borderId="0" xfId="0" applyFont="1" applyAlignment="1"/>
    <xf numFmtId="0" fontId="20" fillId="0" borderId="6" xfId="0" applyFont="1" applyBorder="1" applyAlignment="1">
      <alignment horizontal="left" vertical="center"/>
    </xf>
    <xf numFmtId="0" fontId="18" fillId="0" borderId="0" xfId="0" applyFont="1" applyBorder="1" applyAlignment="1">
      <alignment horizontal="left"/>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2" fontId="7" fillId="0" borderId="43" xfId="0" applyNumberFormat="1" applyFont="1" applyBorder="1" applyAlignment="1">
      <alignment horizontal="center" vertical="center"/>
    </xf>
    <xf numFmtId="2" fontId="7" fillId="0" borderId="44" xfId="0" applyNumberFormat="1" applyFont="1" applyBorder="1" applyAlignment="1">
      <alignment horizontal="center" vertical="center"/>
    </xf>
    <xf numFmtId="2" fontId="7" fillId="0" borderId="45" xfId="0" applyNumberFormat="1" applyFont="1" applyBorder="1" applyAlignment="1">
      <alignment horizontal="center" vertical="center"/>
    </xf>
    <xf numFmtId="2" fontId="7" fillId="0" borderId="46" xfId="0" applyNumberFormat="1" applyFont="1" applyBorder="1" applyAlignment="1">
      <alignment horizontal="center" vertical="center"/>
    </xf>
    <xf numFmtId="2" fontId="7" fillId="0" borderId="47" xfId="0" applyNumberFormat="1" applyFont="1" applyBorder="1" applyAlignment="1">
      <alignment horizontal="center" vertical="center"/>
    </xf>
    <xf numFmtId="2" fontId="7" fillId="0" borderId="48" xfId="0" applyNumberFormat="1" applyFont="1" applyBorder="1" applyAlignment="1">
      <alignment horizontal="center" vertical="center"/>
    </xf>
    <xf numFmtId="0" fontId="37" fillId="2" borderId="1" xfId="0" applyFont="1" applyFill="1" applyBorder="1" applyAlignment="1">
      <alignment horizontal="center" vertical="center" wrapText="1"/>
    </xf>
    <xf numFmtId="0" fontId="75" fillId="2" borderId="1" xfId="0" applyFont="1" applyFill="1" applyBorder="1" applyAlignment="1">
      <alignment horizontal="center" vertical="center" wrapText="1"/>
    </xf>
    <xf numFmtId="0" fontId="52" fillId="0" borderId="0" xfId="0" applyFont="1" applyAlignment="1"/>
    <xf numFmtId="0" fontId="53" fillId="0" borderId="0" xfId="0" applyFont="1"/>
    <xf numFmtId="0" fontId="69" fillId="0" borderId="0" xfId="0" applyFont="1" applyAlignment="1">
      <alignment horizontal="center" vertical="center"/>
    </xf>
    <xf numFmtId="0" fontId="54" fillId="0" borderId="0" xfId="0" applyFont="1" applyBorder="1" applyAlignment="1"/>
    <xf numFmtId="0" fontId="12" fillId="0" borderId="0" xfId="0" applyFont="1" applyAlignment="1">
      <alignment horizontal="center" vertical="center"/>
    </xf>
    <xf numFmtId="0" fontId="7" fillId="0" borderId="0" xfId="0" applyFont="1" applyAlignment="1">
      <alignment horizontal="left" vertical="center"/>
    </xf>
    <xf numFmtId="0" fontId="76" fillId="0" borderId="2" xfId="0" applyFont="1" applyBorder="1" applyAlignment="1">
      <alignment horizontal="center" vertical="center"/>
    </xf>
    <xf numFmtId="0" fontId="90" fillId="0" borderId="1" xfId="0" applyFont="1" applyFill="1" applyBorder="1" applyAlignment="1">
      <alignment horizontal="center" vertical="center" wrapText="1"/>
    </xf>
    <xf numFmtId="0" fontId="53" fillId="0" borderId="0" xfId="0" applyFont="1" applyFill="1" applyBorder="1" applyAlignment="1">
      <alignment horizontal="left"/>
    </xf>
    <xf numFmtId="0" fontId="53" fillId="0" borderId="0" xfId="0" applyFont="1" applyAlignment="1">
      <alignment vertical="center"/>
    </xf>
    <xf numFmtId="0" fontId="87" fillId="0" borderId="64" xfId="0" applyFont="1" applyFill="1" applyBorder="1" applyAlignment="1">
      <alignment horizontal="center" vertical="center" wrapText="1"/>
    </xf>
    <xf numFmtId="0" fontId="55" fillId="0" borderId="0" xfId="0" applyFont="1" applyAlignment="1">
      <alignment horizontal="left"/>
    </xf>
    <xf numFmtId="0" fontId="56" fillId="0" borderId="0" xfId="2" applyFont="1" applyAlignment="1">
      <alignment horizontal="center"/>
    </xf>
    <xf numFmtId="0" fontId="53" fillId="0" borderId="0" xfId="2" applyFont="1"/>
    <xf numFmtId="0" fontId="54" fillId="0" borderId="6" xfId="0" applyFont="1" applyBorder="1" applyAlignment="1"/>
    <xf numFmtId="0" fontId="52" fillId="0" borderId="0" xfId="0" applyFont="1" applyAlignment="1">
      <alignment horizontal="right"/>
    </xf>
    <xf numFmtId="0" fontId="52" fillId="0" borderId="6" xfId="0" applyFont="1" applyBorder="1" applyAlignment="1"/>
    <xf numFmtId="0" fontId="52" fillId="0" borderId="0" xfId="0" applyFont="1" applyBorder="1" applyAlignment="1"/>
    <xf numFmtId="0" fontId="18" fillId="0" borderId="0" xfId="0" applyFont="1" applyAlignment="1">
      <alignment horizontal="center" vertical="center"/>
    </xf>
    <xf numFmtId="0" fontId="53" fillId="0" borderId="1" xfId="0" applyFont="1" applyBorder="1"/>
    <xf numFmtId="0" fontId="53" fillId="0" borderId="0" xfId="0" applyFont="1" applyBorder="1"/>
    <xf numFmtId="2" fontId="7" fillId="0" borderId="0" xfId="0" applyNumberFormat="1" applyFont="1" applyBorder="1" applyAlignment="1">
      <alignment horizontal="center" vertical="center" wrapText="1"/>
    </xf>
    <xf numFmtId="0" fontId="12" fillId="0" borderId="1" xfId="0" applyFont="1" applyBorder="1" applyAlignment="1">
      <alignment vertical="center"/>
    </xf>
    <xf numFmtId="0" fontId="12" fillId="0" borderId="1" xfId="0" applyFont="1" applyBorder="1" applyAlignment="1">
      <alignment vertical="center" wrapText="1"/>
    </xf>
    <xf numFmtId="0" fontId="7" fillId="0" borderId="1" xfId="0" applyFont="1" applyBorder="1" applyAlignment="1">
      <alignment vertical="center" wrapText="1"/>
    </xf>
    <xf numFmtId="0" fontId="7" fillId="0" borderId="23" xfId="0" applyFont="1" applyBorder="1" applyAlignment="1">
      <alignment vertical="center" wrapText="1"/>
    </xf>
    <xf numFmtId="0" fontId="12" fillId="0" borderId="0" xfId="0" applyFont="1" applyAlignment="1">
      <alignment horizontal="right"/>
    </xf>
    <xf numFmtId="0" fontId="18" fillId="0" borderId="0" xfId="0" applyFont="1" applyFill="1" applyBorder="1" applyAlignment="1">
      <alignment vertical="top" wrapText="1"/>
    </xf>
    <xf numFmtId="0" fontId="55" fillId="0" borderId="0" xfId="0" applyFont="1" applyAlignment="1">
      <alignment horizontal="right"/>
    </xf>
    <xf numFmtId="0" fontId="20" fillId="0" borderId="3" xfId="0" applyFont="1" applyBorder="1" applyAlignment="1">
      <alignment horizontal="center" vertical="center"/>
    </xf>
    <xf numFmtId="0" fontId="16" fillId="0" borderId="0" xfId="0" applyFont="1" applyBorder="1" applyAlignment="1">
      <alignment horizontal="center" vertical="center"/>
    </xf>
    <xf numFmtId="0" fontId="54" fillId="2" borderId="0" xfId="0" applyFont="1" applyFill="1" applyAlignment="1">
      <alignment horizontal="right"/>
    </xf>
    <xf numFmtId="0" fontId="58" fillId="0" borderId="0" xfId="0" applyFont="1"/>
    <xf numFmtId="0" fontId="91" fillId="2" borderId="1"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36" fillId="0" borderId="0" xfId="3" applyFont="1"/>
    <xf numFmtId="0" fontId="38" fillId="0" borderId="2" xfId="3" applyFont="1" applyBorder="1" applyAlignment="1">
      <alignment horizontal="center" vertical="top" wrapText="1"/>
    </xf>
    <xf numFmtId="0" fontId="7" fillId="2" borderId="1" xfId="0" applyFont="1" applyFill="1" applyBorder="1" applyAlignment="1">
      <alignment horizontal="center"/>
    </xf>
    <xf numFmtId="0" fontId="18" fillId="2" borderId="1" xfId="0" applyFont="1" applyFill="1" applyBorder="1" applyAlignment="1">
      <alignment horizontal="center" vertical="center"/>
    </xf>
    <xf numFmtId="1" fontId="18" fillId="0" borderId="1" xfId="0" applyNumberFormat="1" applyFont="1" applyBorder="1" applyAlignment="1">
      <alignment horizontal="center" vertical="center"/>
    </xf>
    <xf numFmtId="0" fontId="18" fillId="0" borderId="3" xfId="0" applyFont="1" applyBorder="1" applyAlignment="1">
      <alignment horizontal="center" vertical="center"/>
    </xf>
    <xf numFmtId="1" fontId="20" fillId="0" borderId="1" xfId="0" applyNumberFormat="1" applyFont="1" applyBorder="1" applyAlignment="1">
      <alignment horizontal="center" vertical="center"/>
    </xf>
    <xf numFmtId="0" fontId="52" fillId="0" borderId="0" xfId="0" applyFont="1" applyBorder="1" applyAlignment="1">
      <alignment horizontal="right"/>
    </xf>
    <xf numFmtId="0" fontId="7" fillId="0" borderId="0" xfId="0" applyFont="1" applyAlignment="1">
      <alignment vertical="center" wrapText="1"/>
    </xf>
    <xf numFmtId="0" fontId="7" fillId="0" borderId="0" xfId="4" applyFont="1" applyAlignment="1">
      <alignment vertical="top" wrapText="1"/>
    </xf>
    <xf numFmtId="0" fontId="52" fillId="0" borderId="0" xfId="4" applyFont="1"/>
    <xf numFmtId="0" fontId="52" fillId="0" borderId="0" xfId="4" applyFont="1" applyAlignment="1">
      <alignment vertical="top" wrapText="1"/>
    </xf>
    <xf numFmtId="0" fontId="53" fillId="0" borderId="0" xfId="4" applyFont="1"/>
    <xf numFmtId="0" fontId="53" fillId="0" borderId="0" xfId="4" applyFont="1" applyAlignment="1">
      <alignment horizontal="left"/>
    </xf>
    <xf numFmtId="0" fontId="7" fillId="0" borderId="1" xfId="4" applyFont="1" applyFill="1" applyBorder="1" applyAlignment="1">
      <alignment horizontal="center" vertical="center" wrapText="1"/>
    </xf>
    <xf numFmtId="0" fontId="28" fillId="0" borderId="1" xfId="5" applyFont="1" applyBorder="1" applyAlignment="1">
      <alignment horizontal="center" vertical="center" wrapText="1"/>
    </xf>
    <xf numFmtId="0" fontId="28" fillId="0" borderId="1" xfId="5" applyFont="1" applyBorder="1" applyAlignment="1">
      <alignment horizontal="center" vertical="center"/>
    </xf>
    <xf numFmtId="0" fontId="20" fillId="0" borderId="1" xfId="5" applyFont="1" applyBorder="1" applyAlignment="1">
      <alignment horizontal="center" vertical="center"/>
    </xf>
    <xf numFmtId="0" fontId="18" fillId="0" borderId="1" xfId="5" applyFont="1" applyBorder="1" applyAlignment="1">
      <alignment horizontal="center" vertical="center"/>
    </xf>
    <xf numFmtId="2" fontId="18" fillId="0" borderId="1" xfId="5" applyNumberFormat="1" applyFont="1" applyBorder="1" applyAlignment="1">
      <alignment horizontal="center" vertical="center"/>
    </xf>
    <xf numFmtId="2" fontId="20" fillId="0" borderId="1" xfId="5" applyNumberFormat="1" applyFont="1" applyBorder="1" applyAlignment="1">
      <alignment horizontal="center" vertical="center"/>
    </xf>
    <xf numFmtId="0" fontId="11" fillId="0" borderId="0" xfId="5" applyFont="1" applyAlignment="1">
      <alignment vertical="top" wrapText="1"/>
    </xf>
    <xf numFmtId="0" fontId="17" fillId="0" borderId="0" xfId="5" applyFont="1"/>
    <xf numFmtId="0" fontId="17" fillId="0" borderId="0" xfId="4" applyFont="1"/>
    <xf numFmtId="0" fontId="11" fillId="0" borderId="0" xfId="5" applyFont="1" applyAlignment="1"/>
    <xf numFmtId="0" fontId="17" fillId="0" borderId="0" xfId="6" applyFont="1"/>
    <xf numFmtId="0" fontId="12" fillId="0" borderId="0" xfId="2" applyFont="1" applyBorder="1" applyAlignment="1">
      <alignment horizontal="center" vertical="center"/>
    </xf>
    <xf numFmtId="0" fontId="11" fillId="0" borderId="0" xfId="2" applyFont="1" applyAlignment="1">
      <alignment vertical="top" wrapText="1"/>
    </xf>
    <xf numFmtId="0" fontId="20" fillId="0" borderId="0" xfId="2" applyFont="1" applyAlignment="1">
      <alignment horizontal="center" vertical="center" wrapText="1"/>
    </xf>
    <xf numFmtId="0" fontId="20" fillId="0" borderId="0" xfId="2" applyFont="1"/>
    <xf numFmtId="0" fontId="7" fillId="0" borderId="0" xfId="2" applyFont="1" applyFill="1" applyAlignment="1">
      <alignment horizontal="center" vertical="top" wrapText="1"/>
    </xf>
    <xf numFmtId="0" fontId="12" fillId="0" borderId="0" xfId="0" applyFont="1" applyFill="1"/>
    <xf numFmtId="0" fontId="7" fillId="0" borderId="0" xfId="0" applyFont="1" applyFill="1" applyBorder="1" applyAlignment="1">
      <alignment horizontal="center" vertical="center"/>
    </xf>
    <xf numFmtId="0" fontId="66" fillId="0" borderId="0" xfId="2" applyFill="1"/>
    <xf numFmtId="0" fontId="23" fillId="0" borderId="0" xfId="2" applyFont="1" applyFill="1"/>
    <xf numFmtId="0" fontId="26" fillId="0" borderId="1" xfId="2" applyFont="1" applyFill="1" applyBorder="1" applyAlignment="1">
      <alignment horizontal="center" vertical="center" wrapText="1"/>
    </xf>
    <xf numFmtId="0" fontId="23" fillId="0" borderId="0" xfId="2" applyFont="1" applyFill="1" applyAlignment="1">
      <alignment horizontal="center"/>
    </xf>
    <xf numFmtId="0" fontId="32" fillId="0" borderId="0" xfId="2" applyFont="1" applyFill="1" applyAlignment="1">
      <alignment horizontal="center"/>
    </xf>
    <xf numFmtId="0" fontId="76" fillId="0" borderId="1" xfId="0" applyFont="1" applyFill="1" applyBorder="1" applyAlignment="1">
      <alignment horizontal="center" vertical="center"/>
    </xf>
    <xf numFmtId="0" fontId="68" fillId="0" borderId="1" xfId="2" applyFont="1" applyFill="1" applyBorder="1" applyAlignment="1">
      <alignment horizontal="center" vertical="center"/>
    </xf>
    <xf numFmtId="0" fontId="88" fillId="0" borderId="1" xfId="2" applyFont="1" applyFill="1" applyBorder="1" applyAlignment="1">
      <alignment horizontal="center" vertical="center"/>
    </xf>
    <xf numFmtId="0" fontId="76" fillId="0" borderId="1" xfId="2" applyFont="1" applyFill="1" applyBorder="1" applyAlignment="1">
      <alignment horizontal="center" vertical="center"/>
    </xf>
    <xf numFmtId="0" fontId="68" fillId="0" borderId="0" xfId="2" applyFont="1" applyFill="1"/>
    <xf numFmtId="0" fontId="7" fillId="0" borderId="0" xfId="0" applyFont="1" applyFill="1"/>
    <xf numFmtId="0" fontId="7" fillId="0" borderId="0" xfId="0" applyFont="1" applyFill="1" applyAlignment="1">
      <alignment vertical="top" wrapText="1"/>
    </xf>
    <xf numFmtId="0" fontId="7" fillId="0" borderId="0" xfId="0" applyFont="1" applyFill="1" applyAlignment="1"/>
    <xf numFmtId="0" fontId="20" fillId="0" borderId="1" xfId="0" applyFont="1" applyFill="1" applyBorder="1" applyAlignment="1">
      <alignment horizontal="center" vertical="center"/>
    </xf>
    <xf numFmtId="0" fontId="0" fillId="0" borderId="0" xfId="0" applyAlignment="1">
      <alignment vertical="center"/>
    </xf>
    <xf numFmtId="0" fontId="68" fillId="0" borderId="0" xfId="0" applyFont="1" applyAlignment="1">
      <alignment horizontal="center" vertical="center"/>
    </xf>
    <xf numFmtId="0" fontId="0" fillId="0" borderId="1" xfId="0" applyFill="1" applyBorder="1" applyAlignment="1">
      <alignment horizontal="center"/>
    </xf>
    <xf numFmtId="0" fontId="7" fillId="0" borderId="0" xfId="4" applyFont="1" applyBorder="1" applyAlignment="1">
      <alignment horizontal="left" vertical="center"/>
    </xf>
    <xf numFmtId="165" fontId="12" fillId="0" borderId="12" xfId="4" applyNumberFormat="1" applyFont="1" applyFill="1" applyBorder="1" applyAlignment="1">
      <alignment horizontal="center" vertical="center"/>
    </xf>
    <xf numFmtId="0" fontId="12" fillId="0" borderId="0" xfId="4" applyFill="1"/>
    <xf numFmtId="165" fontId="12" fillId="0" borderId="0" xfId="4" applyNumberFormat="1"/>
    <xf numFmtId="0" fontId="7" fillId="0" borderId="4" xfId="0" applyFont="1" applyBorder="1" applyAlignment="1">
      <alignment horizontal="center" vertical="center"/>
    </xf>
    <xf numFmtId="2" fontId="12" fillId="0" borderId="1" xfId="2" applyNumberFormat="1" applyFont="1" applyFill="1" applyBorder="1" applyAlignment="1">
      <alignment horizontal="center" vertical="center"/>
    </xf>
    <xf numFmtId="2" fontId="12" fillId="0" borderId="1" xfId="0" applyNumberFormat="1" applyFont="1" applyFill="1" applyBorder="1" applyAlignment="1">
      <alignment horizontal="center" vertical="center"/>
    </xf>
    <xf numFmtId="0" fontId="0" fillId="0" borderId="0" xfId="0" applyFill="1"/>
    <xf numFmtId="0" fontId="0" fillId="0" borderId="1" xfId="0" applyFill="1" applyBorder="1"/>
    <xf numFmtId="1" fontId="12" fillId="0" borderId="1" xfId="2"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1" fontId="7" fillId="0" borderId="1" xfId="2" applyNumberFormat="1" applyFont="1" applyFill="1" applyBorder="1" applyAlignment="1">
      <alignment horizontal="center" vertical="center" wrapText="1"/>
    </xf>
    <xf numFmtId="0" fontId="92" fillId="0" borderId="1" xfId="2" applyFont="1" applyFill="1" applyBorder="1" applyAlignment="1">
      <alignment horizontal="center" vertical="center"/>
    </xf>
    <xf numFmtId="1" fontId="92" fillId="0" borderId="1" xfId="2" applyNumberFormat="1" applyFont="1" applyFill="1" applyBorder="1" applyAlignment="1">
      <alignment horizontal="center" vertical="center"/>
    </xf>
    <xf numFmtId="2" fontId="93" fillId="0" borderId="1" xfId="0" applyNumberFormat="1" applyFont="1" applyBorder="1" applyAlignment="1">
      <alignment horizontal="center" vertical="center"/>
    </xf>
    <xf numFmtId="1" fontId="86" fillId="0" borderId="3" xfId="0" applyNumberFormat="1" applyFont="1" applyBorder="1" applyAlignment="1">
      <alignment horizontal="center" vertical="center"/>
    </xf>
    <xf numFmtId="0" fontId="34" fillId="0" borderId="0" xfId="0" applyFont="1" applyAlignment="1">
      <alignment horizontal="center"/>
    </xf>
    <xf numFmtId="0" fontId="12" fillId="0" borderId="50" xfId="0" applyFont="1" applyBorder="1" applyAlignment="1">
      <alignment horizontal="center" vertical="center"/>
    </xf>
    <xf numFmtId="0" fontId="12" fillId="0" borderId="4" xfId="0" applyFont="1" applyBorder="1" applyAlignment="1">
      <alignment horizontal="center" vertical="center"/>
    </xf>
    <xf numFmtId="0" fontId="28" fillId="0" borderId="0" xfId="0" applyFont="1" applyAlignment="1"/>
    <xf numFmtId="0" fontId="87" fillId="0" borderId="65" xfId="0" applyFont="1" applyFill="1" applyBorder="1" applyAlignment="1">
      <alignment horizontal="center" vertical="center" wrapText="1"/>
    </xf>
    <xf numFmtId="0" fontId="12" fillId="0" borderId="3" xfId="0" applyFont="1" applyFill="1" applyBorder="1" applyAlignment="1">
      <alignment horizontal="center" vertical="center"/>
    </xf>
    <xf numFmtId="0" fontId="87" fillId="0" borderId="66" xfId="0" applyFont="1" applyFill="1" applyBorder="1" applyAlignment="1">
      <alignment horizontal="center" vertical="center" wrapText="1"/>
    </xf>
    <xf numFmtId="0" fontId="12" fillId="0" borderId="4" xfId="0" applyFont="1" applyFill="1" applyBorder="1" applyAlignment="1">
      <alignment horizontal="center" vertical="center"/>
    </xf>
    <xf numFmtId="0" fontId="87" fillId="0" borderId="1" xfId="0" applyFont="1" applyFill="1" applyBorder="1" applyAlignment="1">
      <alignment horizontal="center" vertical="center" wrapText="1"/>
    </xf>
    <xf numFmtId="0" fontId="87" fillId="0" borderId="67" xfId="0" applyFont="1" applyFill="1" applyBorder="1" applyAlignment="1">
      <alignment horizontal="center" vertical="center" wrapText="1"/>
    </xf>
    <xf numFmtId="0" fontId="87" fillId="0" borderId="68" xfId="0" applyFont="1" applyFill="1" applyBorder="1" applyAlignment="1">
      <alignment horizontal="center" vertical="center" wrapText="1"/>
    </xf>
    <xf numFmtId="0" fontId="90" fillId="0" borderId="4" xfId="0" applyFont="1" applyFill="1" applyBorder="1" applyAlignment="1">
      <alignment horizontal="center" vertical="center" wrapText="1"/>
    </xf>
    <xf numFmtId="0" fontId="65" fillId="0" borderId="1" xfId="3" applyFont="1" applyBorder="1" applyAlignment="1">
      <alignment horizontal="center" vertical="center" wrapText="1"/>
    </xf>
    <xf numFmtId="0" fontId="64" fillId="0" borderId="1" xfId="3" quotePrefix="1" applyFont="1" applyBorder="1" applyAlignment="1">
      <alignment horizontal="center" vertical="center" wrapText="1"/>
    </xf>
    <xf numFmtId="0" fontId="7" fillId="0" borderId="1" xfId="3" applyFont="1" applyBorder="1" applyAlignment="1">
      <alignment horizontal="center" vertical="center"/>
    </xf>
    <xf numFmtId="0" fontId="94" fillId="0" borderId="1" xfId="4" applyFont="1" applyBorder="1" applyAlignment="1">
      <alignment horizontal="center" vertical="center"/>
    </xf>
    <xf numFmtId="0" fontId="12" fillId="0" borderId="0" xfId="0" applyFont="1" applyBorder="1" applyAlignment="1">
      <alignment vertical="center" wrapText="1"/>
    </xf>
    <xf numFmtId="0" fontId="20" fillId="0" borderId="1" xfId="0" applyFont="1" applyBorder="1" applyAlignment="1">
      <alignment horizontal="center" vertical="center" wrapText="1"/>
    </xf>
    <xf numFmtId="0" fontId="7" fillId="0" borderId="0" xfId="0" applyFont="1" applyBorder="1" applyAlignment="1">
      <alignment horizontal="center" vertical="center"/>
    </xf>
    <xf numFmtId="0" fontId="7" fillId="0" borderId="1" xfId="0" applyFont="1" applyBorder="1" applyAlignment="1">
      <alignment horizontal="center" vertical="center" wrapText="1"/>
    </xf>
    <xf numFmtId="0" fontId="12" fillId="0" borderId="0" xfId="0" applyFont="1"/>
    <xf numFmtId="0" fontId="7" fillId="0" borderId="1" xfId="4" applyFont="1" applyBorder="1" applyAlignment="1">
      <alignment horizontal="center" vertical="center" wrapText="1"/>
    </xf>
    <xf numFmtId="2" fontId="7" fillId="0" borderId="0" xfId="0" applyNumberFormat="1" applyFont="1" applyBorder="1" applyAlignment="1">
      <alignment horizontal="center" vertical="center"/>
    </xf>
    <xf numFmtId="0" fontId="48"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0" fontId="48" fillId="0" borderId="0" xfId="0" applyFont="1" applyAlignment="1">
      <alignment vertical="center"/>
    </xf>
    <xf numFmtId="0" fontId="12" fillId="0" borderId="0" xfId="2" applyFont="1" applyAlignment="1">
      <alignment horizontal="center"/>
    </xf>
    <xf numFmtId="0" fontId="7" fillId="0" borderId="0" xfId="0" applyFont="1" applyBorder="1" applyAlignment="1">
      <alignment horizontal="left"/>
    </xf>
    <xf numFmtId="0" fontId="20" fillId="0" borderId="1" xfId="0" applyFont="1" applyBorder="1" applyAlignment="1">
      <alignment horizontal="center" vertical="center" wrapText="1"/>
    </xf>
    <xf numFmtId="0" fontId="7" fillId="0" borderId="0" xfId="0" applyFont="1" applyBorder="1" applyAlignment="1">
      <alignment horizontal="center" vertical="center"/>
    </xf>
    <xf numFmtId="0" fontId="7" fillId="0" borderId="1" xfId="0" applyFont="1" applyBorder="1" applyAlignment="1">
      <alignment horizontal="center" vertical="center" wrapText="1"/>
    </xf>
    <xf numFmtId="0" fontId="12" fillId="0" borderId="0" xfId="0" applyFont="1"/>
    <xf numFmtId="2" fontId="12" fillId="0" borderId="0" xfId="6" applyNumberFormat="1"/>
    <xf numFmtId="0" fontId="7" fillId="0" borderId="1" xfId="2" applyFont="1" applyBorder="1" applyAlignment="1">
      <alignment horizontal="center" vertical="center" wrapText="1"/>
    </xf>
    <xf numFmtId="1" fontId="12" fillId="0" borderId="0" xfId="0" applyNumberFormat="1" applyFont="1" applyFill="1" applyBorder="1"/>
    <xf numFmtId="0" fontId="7" fillId="0" borderId="1" xfId="0" applyFont="1" applyBorder="1" applyAlignment="1">
      <alignment horizontal="center" vertical="center"/>
    </xf>
    <xf numFmtId="0" fontId="12" fillId="0" borderId="0" xfId="12"/>
    <xf numFmtId="0" fontId="20" fillId="0" borderId="0" xfId="12" applyFont="1"/>
    <xf numFmtId="0" fontId="7" fillId="0" borderId="0" xfId="12" applyFont="1" applyAlignment="1">
      <alignment horizontal="center"/>
    </xf>
    <xf numFmtId="0" fontId="7" fillId="0" borderId="9" xfId="12" applyFont="1" applyBorder="1" applyAlignment="1">
      <alignment horizontal="center" vertical="center"/>
    </xf>
    <xf numFmtId="0" fontId="7" fillId="0" borderId="10" xfId="12" applyFont="1" applyBorder="1" applyAlignment="1">
      <alignment horizontal="center" vertical="center"/>
    </xf>
    <xf numFmtId="0" fontId="7" fillId="0" borderId="10" xfId="12" applyFont="1" applyBorder="1" applyAlignment="1">
      <alignment horizontal="center" vertical="center" wrapText="1"/>
    </xf>
    <xf numFmtId="0" fontId="7" fillId="0" borderId="9" xfId="12" applyFont="1" applyBorder="1" applyAlignment="1">
      <alignment horizontal="center" vertical="center" wrapText="1"/>
    </xf>
    <xf numFmtId="164" fontId="77" fillId="0" borderId="0" xfId="12" applyNumberFormat="1" applyFont="1"/>
    <xf numFmtId="2" fontId="77" fillId="0" borderId="0" xfId="12" applyNumberFormat="1" applyFont="1"/>
    <xf numFmtId="0" fontId="12" fillId="0" borderId="12" xfId="12" applyFont="1" applyBorder="1" applyAlignment="1">
      <alignment horizontal="center" vertical="center"/>
    </xf>
    <xf numFmtId="165" fontId="12" fillId="0" borderId="30" xfId="12" applyNumberFormat="1" applyFont="1" applyBorder="1" applyAlignment="1">
      <alignment horizontal="center" vertical="center"/>
    </xf>
    <xf numFmtId="0" fontId="12" fillId="0" borderId="14" xfId="12" applyFont="1" applyBorder="1" applyAlignment="1">
      <alignment horizontal="center" vertical="center"/>
    </xf>
    <xf numFmtId="0" fontId="12" fillId="0" borderId="13" xfId="12" applyFont="1" applyBorder="1" applyAlignment="1">
      <alignment horizontal="center" vertical="center"/>
    </xf>
    <xf numFmtId="0" fontId="12" fillId="0" borderId="49" xfId="12" applyFont="1" applyBorder="1" applyAlignment="1">
      <alignment horizontal="center" vertical="center"/>
    </xf>
    <xf numFmtId="165" fontId="12" fillId="0" borderId="7" xfId="12" applyNumberFormat="1" applyFont="1" applyFill="1" applyBorder="1" applyAlignment="1">
      <alignment horizontal="center" vertical="center"/>
    </xf>
    <xf numFmtId="165" fontId="12" fillId="0" borderId="12" xfId="12" applyNumberFormat="1" applyFont="1" applyFill="1" applyBorder="1" applyAlignment="1">
      <alignment horizontal="center" vertical="center"/>
    </xf>
    <xf numFmtId="165" fontId="12" fillId="0" borderId="7" xfId="12" applyNumberFormat="1" applyFont="1" applyBorder="1" applyAlignment="1">
      <alignment horizontal="center" vertical="center"/>
    </xf>
    <xf numFmtId="165" fontId="12" fillId="0" borderId="12" xfId="12" applyNumberFormat="1" applyFont="1" applyBorder="1" applyAlignment="1">
      <alignment horizontal="center" vertical="center"/>
    </xf>
    <xf numFmtId="165" fontId="12" fillId="0" borderId="69" xfId="12" applyNumberFormat="1" applyFont="1" applyBorder="1" applyAlignment="1">
      <alignment horizontal="center" vertical="center"/>
    </xf>
    <xf numFmtId="165" fontId="12" fillId="0" borderId="69" xfId="12" applyNumberFormat="1" applyFont="1" applyFill="1" applyBorder="1" applyAlignment="1">
      <alignment horizontal="center" vertical="center"/>
    </xf>
    <xf numFmtId="0" fontId="12" fillId="0" borderId="0" xfId="12" applyFill="1"/>
    <xf numFmtId="165" fontId="12" fillId="0" borderId="13" xfId="12" applyNumberFormat="1" applyFont="1" applyFill="1" applyBorder="1" applyAlignment="1">
      <alignment horizontal="center" vertical="center"/>
    </xf>
    <xf numFmtId="165" fontId="12" fillId="0" borderId="14" xfId="12" applyNumberFormat="1" applyFont="1" applyFill="1" applyBorder="1" applyAlignment="1">
      <alignment horizontal="center" vertical="center"/>
    </xf>
    <xf numFmtId="165" fontId="12" fillId="0" borderId="13" xfId="12" applyNumberFormat="1" applyFont="1" applyBorder="1" applyAlignment="1">
      <alignment horizontal="center" vertical="center"/>
    </xf>
    <xf numFmtId="165" fontId="12" fillId="0" borderId="14" xfId="12" applyNumberFormat="1" applyFont="1" applyBorder="1" applyAlignment="1">
      <alignment horizontal="center" vertical="center"/>
    </xf>
    <xf numFmtId="0" fontId="12" fillId="0" borderId="42" xfId="12" applyFont="1" applyBorder="1" applyAlignment="1">
      <alignment horizontal="center" vertical="center"/>
    </xf>
    <xf numFmtId="165" fontId="12" fillId="0" borderId="48" xfId="12" applyNumberFormat="1" applyFont="1" applyBorder="1" applyAlignment="1">
      <alignment horizontal="center" vertical="center"/>
    </xf>
    <xf numFmtId="165" fontId="12" fillId="0" borderId="42" xfId="12" applyNumberFormat="1" applyFont="1" applyBorder="1" applyAlignment="1">
      <alignment horizontal="center" vertical="center"/>
    </xf>
    <xf numFmtId="0" fontId="7" fillId="0" borderId="15" xfId="12" applyFont="1" applyBorder="1" applyAlignment="1">
      <alignment horizontal="center" vertical="center"/>
    </xf>
    <xf numFmtId="165" fontId="7" fillId="0" borderId="9" xfId="12" applyNumberFormat="1" applyFont="1" applyBorder="1" applyAlignment="1">
      <alignment horizontal="center" vertical="center"/>
    </xf>
    <xf numFmtId="165" fontId="7" fillId="0" borderId="10" xfId="12" applyNumberFormat="1" applyFont="1" applyBorder="1" applyAlignment="1">
      <alignment horizontal="center" vertical="center"/>
    </xf>
    <xf numFmtId="0" fontId="7" fillId="0" borderId="0" xfId="12" applyFont="1"/>
    <xf numFmtId="165" fontId="12" fillId="0" borderId="0" xfId="12" applyNumberFormat="1"/>
    <xf numFmtId="0" fontId="6" fillId="0" borderId="0" xfId="6471" applyFill="1"/>
    <xf numFmtId="0" fontId="12" fillId="0" borderId="0" xfId="13" applyFont="1" applyFill="1"/>
    <xf numFmtId="0" fontId="31" fillId="0" borderId="0" xfId="6471" applyFont="1" applyFill="1" applyAlignment="1"/>
    <xf numFmtId="0" fontId="23" fillId="0" borderId="0" xfId="6471" applyFont="1" applyFill="1"/>
    <xf numFmtId="0" fontId="23" fillId="0" borderId="0" xfId="6471" applyFont="1" applyFill="1" applyAlignment="1">
      <alignment horizontal="center"/>
    </xf>
    <xf numFmtId="0" fontId="20" fillId="0" borderId="1" xfId="13" applyFont="1" applyFill="1" applyBorder="1" applyAlignment="1">
      <alignment horizontal="center" vertical="center"/>
    </xf>
    <xf numFmtId="0" fontId="76" fillId="0" borderId="1" xfId="13" applyFont="1" applyFill="1" applyBorder="1" applyAlignment="1">
      <alignment horizontal="center" vertical="center"/>
    </xf>
    <xf numFmtId="0" fontId="6" fillId="0" borderId="0" xfId="6471" applyFill="1" applyBorder="1"/>
    <xf numFmtId="0" fontId="6" fillId="0" borderId="1" xfId="6471" applyFill="1" applyBorder="1"/>
    <xf numFmtId="0" fontId="68" fillId="0" borderId="1" xfId="6471" applyFont="1" applyFill="1" applyBorder="1" applyAlignment="1">
      <alignment horizontal="center" vertical="center"/>
    </xf>
    <xf numFmtId="0" fontId="7" fillId="0" borderId="1" xfId="0" applyFont="1" applyBorder="1" applyAlignment="1">
      <alignment horizontal="center" vertical="center" wrapText="1"/>
    </xf>
    <xf numFmtId="1" fontId="0" fillId="0" borderId="1" xfId="0" applyNumberFormat="1" applyFill="1" applyBorder="1" applyAlignment="1">
      <alignment horizontal="center" vertical="center"/>
    </xf>
    <xf numFmtId="0" fontId="0" fillId="0" borderId="0" xfId="0" applyFill="1" applyAlignment="1">
      <alignment horizontal="center" vertical="center"/>
    </xf>
    <xf numFmtId="0" fontId="20" fillId="0" borderId="1"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wrapText="1"/>
    </xf>
    <xf numFmtId="0" fontId="7" fillId="0" borderId="0" xfId="2" applyFont="1" applyAlignment="1">
      <alignment horizontal="center" vertical="top" wrapText="1"/>
    </xf>
    <xf numFmtId="0" fontId="7" fillId="0" borderId="0" xfId="2" applyFont="1" applyAlignment="1">
      <alignment horizontal="center"/>
    </xf>
    <xf numFmtId="0" fontId="20" fillId="0" borderId="0" xfId="0" applyFont="1" applyBorder="1" applyAlignment="1">
      <alignment horizontal="left"/>
    </xf>
    <xf numFmtId="1" fontId="12" fillId="0" borderId="3" xfId="0" applyNumberFormat="1" applyFont="1" applyBorder="1" applyAlignment="1">
      <alignment horizontal="center" vertical="center"/>
    </xf>
    <xf numFmtId="1" fontId="7" fillId="0" borderId="7" xfId="0" applyNumberFormat="1" applyFont="1" applyBorder="1" applyAlignment="1">
      <alignment horizontal="center" vertical="center"/>
    </xf>
    <xf numFmtId="1" fontId="7" fillId="0" borderId="3" xfId="0" applyNumberFormat="1" applyFont="1" applyBorder="1" applyAlignment="1">
      <alignment horizontal="center" vertical="center"/>
    </xf>
    <xf numFmtId="0" fontId="12" fillId="0" borderId="0" xfId="13"/>
    <xf numFmtId="0" fontId="69" fillId="0" borderId="0" xfId="13" applyFont="1" applyAlignment="1">
      <alignment horizontal="center"/>
    </xf>
    <xf numFmtId="0" fontId="36" fillId="0" borderId="0" xfId="13" applyFont="1"/>
    <xf numFmtId="0" fontId="37" fillId="0" borderId="0" xfId="13" applyFont="1" applyBorder="1" applyAlignment="1"/>
    <xf numFmtId="0" fontId="22" fillId="0" borderId="6" xfId="13" applyFont="1" applyBorder="1" applyAlignment="1"/>
    <xf numFmtId="0" fontId="22" fillId="0" borderId="0" xfId="13" applyFont="1" applyBorder="1" applyAlignment="1"/>
    <xf numFmtId="0" fontId="37" fillId="0" borderId="23" xfId="13" applyFont="1" applyBorder="1" applyAlignment="1">
      <alignment vertical="top" wrapText="1"/>
    </xf>
    <xf numFmtId="0" fontId="37" fillId="2" borderId="23" xfId="13" applyFont="1" applyFill="1" applyBorder="1" applyAlignment="1">
      <alignment horizontal="center" vertical="top" wrapText="1"/>
    </xf>
    <xf numFmtId="0" fontId="37" fillId="2" borderId="1" xfId="13" applyFont="1" applyFill="1" applyBorder="1" applyAlignment="1">
      <alignment horizontal="center" vertical="top" wrapText="1"/>
    </xf>
    <xf numFmtId="0" fontId="38" fillId="0" borderId="1" xfId="13" quotePrefix="1" applyFont="1" applyBorder="1" applyAlignment="1">
      <alignment horizontal="center" vertical="top" wrapText="1"/>
    </xf>
    <xf numFmtId="0" fontId="12" fillId="0" borderId="1" xfId="13" applyBorder="1"/>
    <xf numFmtId="0" fontId="7" fillId="0" borderId="0" xfId="7376" applyFont="1"/>
    <xf numFmtId="0" fontId="7" fillId="0" borderId="0" xfId="7376" applyFont="1" applyAlignment="1">
      <alignment horizontal="center" vertical="top" wrapText="1"/>
    </xf>
    <xf numFmtId="0" fontId="7" fillId="0" borderId="0" xfId="7376" applyFont="1" applyAlignment="1"/>
    <xf numFmtId="0" fontId="7" fillId="0" borderId="0" xfId="7376" applyFont="1" applyAlignment="1">
      <alignment horizontal="center"/>
    </xf>
    <xf numFmtId="0" fontId="37" fillId="0" borderId="23" xfId="0" applyFont="1" applyBorder="1" applyAlignment="1">
      <alignment vertical="top" wrapText="1"/>
    </xf>
    <xf numFmtId="0" fontId="37" fillId="0" borderId="23" xfId="0" applyFont="1" applyBorder="1" applyAlignment="1">
      <alignment horizontal="center" vertical="top" wrapText="1"/>
    </xf>
    <xf numFmtId="0" fontId="37" fillId="2" borderId="23" xfId="0" applyFont="1" applyFill="1" applyBorder="1" applyAlignment="1">
      <alignment horizontal="center" vertical="top" wrapText="1"/>
    </xf>
    <xf numFmtId="0" fontId="7" fillId="0" borderId="1" xfId="0" quotePrefix="1" applyFont="1" applyBorder="1" applyAlignment="1">
      <alignment horizontal="center" vertical="center" wrapText="1"/>
    </xf>
    <xf numFmtId="0" fontId="20" fillId="0" borderId="1" xfId="3" applyFont="1" applyBorder="1" applyAlignment="1">
      <alignment vertical="center"/>
    </xf>
    <xf numFmtId="0" fontId="0" fillId="0" borderId="0" xfId="0"/>
    <xf numFmtId="0" fontId="12" fillId="0" borderId="0" xfId="0" applyFont="1"/>
    <xf numFmtId="0" fontId="12" fillId="0" borderId="4" xfId="0" applyFont="1" applyBorder="1" applyAlignment="1">
      <alignment horizontal="center" vertical="center"/>
    </xf>
    <xf numFmtId="2" fontId="18"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12" fillId="0" borderId="1" xfId="0" applyFont="1" applyBorder="1" applyAlignment="1">
      <alignment horizontal="center" vertical="center"/>
    </xf>
    <xf numFmtId="0" fontId="7" fillId="0" borderId="1" xfId="0" applyFont="1" applyBorder="1" applyAlignment="1">
      <alignment horizontal="center" vertical="top" wrapText="1"/>
    </xf>
    <xf numFmtId="0" fontId="75" fillId="0" borderId="3" xfId="0" applyFont="1" applyBorder="1" applyAlignment="1">
      <alignment horizontal="center" vertical="center" wrapText="1"/>
    </xf>
    <xf numFmtId="0" fontId="12" fillId="2" borderId="1" xfId="13" applyFill="1" applyBorder="1" applyAlignment="1">
      <alignment horizontal="center" vertical="center"/>
    </xf>
    <xf numFmtId="0" fontId="7" fillId="2" borderId="1" xfId="13" applyFont="1" applyFill="1" applyBorder="1" applyAlignment="1">
      <alignment horizontal="center" vertical="center"/>
    </xf>
    <xf numFmtId="0" fontId="109" fillId="0" borderId="1" xfId="0" applyFont="1" applyBorder="1" applyAlignment="1">
      <alignment vertical="center" wrapText="1"/>
    </xf>
    <xf numFmtId="0" fontId="110" fillId="0" borderId="1" xfId="0" applyFont="1" applyBorder="1" applyAlignment="1">
      <alignment horizontal="center" vertical="center" wrapText="1"/>
    </xf>
    <xf numFmtId="0" fontId="86" fillId="0" borderId="1" xfId="0" quotePrefix="1" applyFont="1" applyBorder="1" applyAlignment="1">
      <alignment horizontal="center" vertical="center" wrapText="1"/>
    </xf>
    <xf numFmtId="0" fontId="86" fillId="2" borderId="1" xfId="0" applyFont="1" applyFill="1" applyBorder="1" applyAlignment="1">
      <alignment horizontal="center" vertical="center"/>
    </xf>
    <xf numFmtId="0" fontId="18"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2" fillId="0" borderId="0" xfId="0" applyFont="1"/>
    <xf numFmtId="0" fontId="7" fillId="0" borderId="0" xfId="0" applyFont="1" applyBorder="1" applyAlignment="1">
      <alignment horizontal="right"/>
    </xf>
    <xf numFmtId="0" fontId="7" fillId="0" borderId="1" xfId="0" applyFont="1" applyFill="1" applyBorder="1" applyAlignment="1">
      <alignment horizontal="center" vertical="center" wrapText="1"/>
    </xf>
    <xf numFmtId="0" fontId="86" fillId="2" borderId="1" xfId="0" applyFont="1" applyFill="1" applyBorder="1" applyAlignment="1">
      <alignment horizontal="center"/>
    </xf>
    <xf numFmtId="0" fontId="68" fillId="0" borderId="1" xfId="0" applyFont="1" applyBorder="1" applyAlignment="1">
      <alignment horizontal="center" vertical="center"/>
    </xf>
    <xf numFmtId="0" fontId="94" fillId="0" borderId="1" xfId="3" applyFont="1" applyBorder="1" applyAlignment="1">
      <alignment horizontal="center" vertical="center"/>
    </xf>
    <xf numFmtId="0" fontId="94" fillId="0" borderId="0" xfId="3" applyFont="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2" fillId="0" borderId="0" xfId="0" applyFont="1"/>
    <xf numFmtId="0" fontId="7" fillId="0" borderId="0" xfId="0" applyFont="1" applyBorder="1" applyAlignment="1">
      <alignment horizontal="right"/>
    </xf>
    <xf numFmtId="0" fontId="7" fillId="0" borderId="1" xfId="0" applyFont="1" applyFill="1" applyBorder="1" applyAlignment="1">
      <alignment horizontal="center" vertical="center" wrapText="1"/>
    </xf>
    <xf numFmtId="0" fontId="12" fillId="0" borderId="0" xfId="0" applyFont="1"/>
    <xf numFmtId="0" fontId="18" fillId="0" borderId="1" xfId="0" applyFont="1" applyBorder="1" applyAlignment="1">
      <alignment horizontal="center" vertical="center"/>
    </xf>
    <xf numFmtId="0" fontId="7" fillId="0" borderId="1" xfId="0" applyFont="1" applyBorder="1" applyAlignment="1">
      <alignment horizontal="center" vertical="center"/>
    </xf>
    <xf numFmtId="0" fontId="12" fillId="0" borderId="0" xfId="0" applyFont="1"/>
    <xf numFmtId="0" fontId="7" fillId="0" borderId="1" xfId="4" applyFont="1" applyBorder="1" applyAlignment="1">
      <alignment horizontal="center" vertical="center" wrapText="1"/>
    </xf>
    <xf numFmtId="0" fontId="7" fillId="0" borderId="0" xfId="4" applyFont="1" applyAlignment="1">
      <alignment horizontal="left"/>
    </xf>
    <xf numFmtId="0" fontId="19" fillId="0" borderId="0" xfId="4" applyFont="1" applyAlignment="1">
      <alignment horizontal="left"/>
    </xf>
    <xf numFmtId="0" fontId="12" fillId="0" borderId="1" xfId="4" applyFont="1" applyBorder="1"/>
    <xf numFmtId="0" fontId="12" fillId="0" borderId="0" xfId="4" applyFont="1" applyBorder="1"/>
    <xf numFmtId="0" fontId="7" fillId="0" borderId="0" xfId="4" applyFont="1" applyAlignment="1">
      <alignment horizontal="right" vertical="top" wrapText="1"/>
    </xf>
    <xf numFmtId="0" fontId="12" fillId="0" borderId="0" xfId="4" applyFont="1" applyAlignment="1">
      <alignment horizontal="center" vertical="center"/>
    </xf>
    <xf numFmtId="0" fontId="12" fillId="0" borderId="0" xfId="4" applyFont="1" applyBorder="1" applyAlignment="1">
      <alignment horizontal="center" vertical="center"/>
    </xf>
    <xf numFmtId="0" fontId="22" fillId="0" borderId="6" xfId="4" applyFont="1" applyBorder="1" applyAlignment="1"/>
    <xf numFmtId="0" fontId="37" fillId="0" borderId="1" xfId="0" applyFont="1" applyBorder="1" applyAlignment="1">
      <alignment horizontal="center" vertical="center" wrapText="1"/>
    </xf>
    <xf numFmtId="0" fontId="7" fillId="0" borderId="0" xfId="2" applyFont="1" applyAlignment="1">
      <alignment horizontal="right"/>
    </xf>
    <xf numFmtId="0" fontId="0" fillId="0" borderId="0" xfId="0"/>
    <xf numFmtId="0" fontId="7" fillId="0" borderId="0" xfId="0" applyFont="1" applyAlignment="1">
      <alignment horizontal="center"/>
    </xf>
    <xf numFmtId="0" fontId="11" fillId="0" borderId="0" xfId="0" applyFont="1" applyAlignment="1">
      <alignment horizontal="center"/>
    </xf>
    <xf numFmtId="0" fontId="7" fillId="0" borderId="0" xfId="0" applyFont="1" applyBorder="1" applyAlignment="1">
      <alignment horizontal="center"/>
    </xf>
    <xf numFmtId="0" fontId="12" fillId="0" borderId="1" xfId="0" applyFont="1" applyBorder="1" applyAlignment="1">
      <alignment horizontal="center" vertical="center" wrapText="1"/>
    </xf>
    <xf numFmtId="0" fontId="17" fillId="0" borderId="0" xfId="0" applyFont="1" applyAlignment="1">
      <alignment horizontal="center"/>
    </xf>
    <xf numFmtId="0" fontId="89" fillId="0" borderId="0" xfId="0" applyFont="1" applyAlignment="1">
      <alignment horizontal="center" wrapText="1"/>
    </xf>
    <xf numFmtId="0" fontId="12" fillId="0" borderId="0" xfId="0" applyFont="1"/>
    <xf numFmtId="0" fontId="0" fillId="0" borderId="0" xfId="0"/>
    <xf numFmtId="2" fontId="18" fillId="0" borderId="1" xfId="0" applyNumberFormat="1" applyFont="1" applyBorder="1" applyAlignment="1">
      <alignment horizontal="center" vertical="center"/>
    </xf>
    <xf numFmtId="0" fontId="20" fillId="0" borderId="0" xfId="0" applyFont="1" applyBorder="1" applyAlignment="1">
      <alignment horizontal="center" vertical="center"/>
    </xf>
    <xf numFmtId="0" fontId="7" fillId="0" borderId="0"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0" xfId="0" applyFont="1"/>
    <xf numFmtId="0" fontId="7" fillId="0" borderId="1" xfId="0" applyFont="1" applyFill="1" applyBorder="1" applyAlignment="1">
      <alignment horizontal="center" vertical="center" wrapText="1"/>
    </xf>
    <xf numFmtId="1" fontId="12" fillId="0" borderId="0" xfId="0" applyNumberFormat="1" applyFont="1" applyBorder="1"/>
    <xf numFmtId="0" fontId="54" fillId="0" borderId="0" xfId="0" applyFont="1" applyBorder="1" applyAlignment="1">
      <alignment horizontal="right"/>
    </xf>
    <xf numFmtId="0" fontId="7" fillId="0" borderId="1" xfId="5" applyFont="1" applyBorder="1" applyAlignment="1">
      <alignment horizontal="center" vertical="center" wrapText="1"/>
    </xf>
    <xf numFmtId="0" fontId="36" fillId="0" borderId="1" xfId="3" quotePrefix="1" applyFont="1" applyBorder="1" applyAlignment="1">
      <alignment horizontal="center" vertical="center" wrapText="1"/>
    </xf>
    <xf numFmtId="0" fontId="0" fillId="0" borderId="0" xfId="0"/>
    <xf numFmtId="0" fontId="7" fillId="0" borderId="1" xfId="5" applyFont="1" applyBorder="1" applyAlignment="1">
      <alignment horizontal="center" vertical="center" wrapText="1"/>
    </xf>
    <xf numFmtId="0" fontId="12" fillId="0" borderId="39" xfId="4" applyFont="1" applyFill="1" applyBorder="1" applyAlignment="1">
      <alignment horizontal="center" vertical="center"/>
    </xf>
    <xf numFmtId="165" fontId="12" fillId="0" borderId="39" xfId="4" applyNumberFormat="1" applyFont="1" applyFill="1" applyBorder="1" applyAlignment="1">
      <alignment horizontal="center" vertical="center"/>
    </xf>
    <xf numFmtId="2" fontId="12" fillId="0" borderId="37" xfId="0" applyNumberFormat="1" applyFont="1" applyFill="1" applyBorder="1" applyAlignment="1">
      <alignment horizontal="center" vertical="center"/>
    </xf>
    <xf numFmtId="0" fontId="20" fillId="0" borderId="23" xfId="6" applyFont="1" applyBorder="1" applyAlignment="1">
      <alignment horizontal="center" vertical="center" wrapText="1"/>
    </xf>
    <xf numFmtId="0" fontId="20" fillId="0" borderId="1" xfId="6" applyFont="1" applyBorder="1" applyAlignment="1">
      <alignment horizontal="center" vertical="center" wrapText="1"/>
    </xf>
    <xf numFmtId="0" fontId="0" fillId="0" borderId="0" xfId="0"/>
    <xf numFmtId="2" fontId="0" fillId="0" borderId="1" xfId="0" applyNumberFormat="1" applyFill="1" applyBorder="1" applyAlignment="1">
      <alignment horizontal="center" vertical="center"/>
    </xf>
    <xf numFmtId="0" fontId="8" fillId="0" borderId="0" xfId="0" applyFont="1" applyFill="1" applyAlignment="1"/>
    <xf numFmtId="0" fontId="19" fillId="0" borderId="0" xfId="0" applyFont="1" applyFill="1" applyAlignment="1"/>
    <xf numFmtId="0" fontId="11" fillId="0" borderId="0" xfId="0" applyFont="1" applyFill="1"/>
    <xf numFmtId="0" fontId="22" fillId="0" borderId="1" xfId="0" applyFont="1" applyFill="1" applyBorder="1" applyAlignment="1">
      <alignment horizontal="center"/>
    </xf>
    <xf numFmtId="0" fontId="7" fillId="0" borderId="1" xfId="0" applyFont="1" applyFill="1" applyBorder="1" applyAlignment="1">
      <alignment horizontal="center"/>
    </xf>
    <xf numFmtId="0" fontId="12" fillId="0" borderId="1" xfId="0" applyFont="1" applyFill="1" applyBorder="1" applyAlignment="1">
      <alignment horizontal="center"/>
    </xf>
    <xf numFmtId="0" fontId="7" fillId="0" borderId="4" xfId="0" applyFont="1" applyFill="1" applyBorder="1"/>
    <xf numFmtId="2" fontId="7"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0" fontId="7" fillId="0" borderId="0" xfId="0" applyFont="1" applyFill="1" applyBorder="1"/>
    <xf numFmtId="0" fontId="12" fillId="0" borderId="0" xfId="0" applyFont="1" applyFill="1" applyAlignment="1">
      <alignment vertical="top"/>
    </xf>
    <xf numFmtId="0" fontId="0" fillId="0" borderId="0" xfId="0"/>
    <xf numFmtId="0" fontId="18" fillId="0" borderId="23" xfId="6" applyFont="1" applyFill="1" applyBorder="1" applyAlignment="1">
      <alignment horizontal="center" vertical="center" wrapText="1"/>
    </xf>
    <xf numFmtId="2" fontId="18" fillId="0" borderId="23" xfId="6" applyNumberFormat="1" applyFont="1" applyFill="1" applyBorder="1" applyAlignment="1">
      <alignment horizontal="center" vertical="center" wrapText="1"/>
    </xf>
    <xf numFmtId="14" fontId="18" fillId="0" borderId="23" xfId="6" applyNumberFormat="1" applyFont="1" applyFill="1" applyBorder="1" applyAlignment="1">
      <alignment horizontal="center" vertical="center" wrapText="1"/>
    </xf>
    <xf numFmtId="0" fontId="18" fillId="0" borderId="1" xfId="6" applyFont="1" applyFill="1" applyBorder="1" applyAlignment="1">
      <alignment horizontal="center" vertical="center" wrapText="1"/>
    </xf>
    <xf numFmtId="14" fontId="18" fillId="0" borderId="1" xfId="6" applyNumberFormat="1" applyFont="1" applyFill="1" applyBorder="1" applyAlignment="1">
      <alignment horizontal="center" vertical="center" wrapText="1"/>
    </xf>
    <xf numFmtId="2" fontId="18" fillId="0" borderId="1" xfId="6" applyNumberFormat="1" applyFont="1" applyFill="1" applyBorder="1" applyAlignment="1">
      <alignment horizontal="center" vertical="center" wrapText="1"/>
    </xf>
    <xf numFmtId="2" fontId="7" fillId="0" borderId="1" xfId="2" applyNumberFormat="1" applyFont="1" applyFill="1" applyBorder="1" applyAlignment="1">
      <alignment horizontal="center" vertical="center"/>
    </xf>
    <xf numFmtId="0" fontId="7" fillId="0" borderId="51" xfId="0" applyFont="1" applyFill="1" applyBorder="1" applyAlignment="1">
      <alignment horizontal="center" vertical="center" wrapText="1"/>
    </xf>
    <xf numFmtId="2" fontId="12" fillId="0" borderId="3" xfId="0" applyNumberFormat="1" applyFont="1" applyBorder="1" applyAlignment="1">
      <alignment horizontal="center" vertical="center"/>
    </xf>
    <xf numFmtId="0" fontId="113" fillId="0" borderId="0" xfId="0" applyFont="1" applyBorder="1"/>
    <xf numFmtId="0" fontId="114" fillId="0" borderId="0" xfId="0" applyFont="1" applyBorder="1"/>
    <xf numFmtId="2" fontId="113" fillId="0" borderId="0" xfId="0" applyNumberFormat="1" applyFont="1" applyBorder="1" applyAlignment="1">
      <alignment horizontal="center" vertical="center"/>
    </xf>
    <xf numFmtId="2" fontId="114" fillId="0" borderId="0" xfId="0" applyNumberFormat="1" applyFont="1" applyBorder="1"/>
    <xf numFmtId="0" fontId="0" fillId="0" borderId="0" xfId="0"/>
    <xf numFmtId="49" fontId="6" fillId="0" borderId="0" xfId="6471" applyNumberFormat="1" applyFill="1"/>
    <xf numFmtId="0" fontId="12" fillId="0" borderId="14" xfId="12" applyFont="1" applyBorder="1" applyAlignment="1">
      <alignment horizontal="center" vertical="center"/>
    </xf>
    <xf numFmtId="0" fontId="109" fillId="0" borderId="1" xfId="0" applyFont="1" applyBorder="1" applyAlignment="1">
      <alignment horizontal="center" vertical="center" wrapText="1"/>
    </xf>
    <xf numFmtId="0" fontId="7" fillId="0" borderId="23" xfId="0" applyFont="1" applyBorder="1" applyAlignment="1">
      <alignment horizontal="center" vertical="center" wrapText="1"/>
    </xf>
    <xf numFmtId="0" fontId="113" fillId="0" borderId="0" xfId="0" applyFont="1"/>
    <xf numFmtId="2" fontId="116" fillId="0" borderId="0" xfId="0" applyNumberFormat="1" applyFont="1" applyAlignment="1">
      <alignment horizontal="center" vertical="center"/>
    </xf>
    <xf numFmtId="2" fontId="113" fillId="0" borderId="0" xfId="0" applyNumberFormat="1" applyFont="1" applyAlignment="1">
      <alignment horizontal="center" vertical="center"/>
    </xf>
    <xf numFmtId="2" fontId="117" fillId="0" borderId="0" xfId="0" applyNumberFormat="1" applyFont="1" applyAlignment="1">
      <alignment horizontal="center" vertical="center"/>
    </xf>
    <xf numFmtId="0" fontId="117" fillId="0" borderId="0" xfId="0" applyFont="1"/>
    <xf numFmtId="0" fontId="20" fillId="0" borderId="1" xfId="0" applyFont="1" applyBorder="1" applyAlignment="1">
      <alignment horizontal="center" vertical="center"/>
    </xf>
    <xf numFmtId="0" fontId="1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xf>
    <xf numFmtId="0" fontId="12" fillId="0" borderId="1" xfId="0" applyFont="1" applyBorder="1" applyAlignment="1">
      <alignment horizontal="center" vertical="center"/>
    </xf>
    <xf numFmtId="0" fontId="7" fillId="0" borderId="1" xfId="0" applyFont="1" applyBorder="1" applyAlignment="1">
      <alignment horizontal="center" vertical="center"/>
    </xf>
    <xf numFmtId="0" fontId="12" fillId="0" borderId="0" xfId="0" applyFont="1"/>
    <xf numFmtId="1" fontId="12"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xf numFmtId="1" fontId="12" fillId="0" borderId="1" xfId="0" applyNumberFormat="1" applyFont="1" applyFill="1" applyBorder="1" applyAlignment="1">
      <alignment horizontal="center" vertical="center"/>
    </xf>
    <xf numFmtId="0" fontId="7" fillId="0" borderId="23" xfId="0" applyFont="1" applyBorder="1" applyAlignment="1">
      <alignment horizontal="center" vertical="center" wrapText="1"/>
    </xf>
    <xf numFmtId="0" fontId="7" fillId="0" borderId="0" xfId="0" applyFont="1" applyBorder="1" applyAlignment="1">
      <alignment horizontal="center"/>
    </xf>
    <xf numFmtId="0" fontId="12" fillId="0" borderId="0" xfId="0" applyFont="1"/>
    <xf numFmtId="0" fontId="7" fillId="0" borderId="1" xfId="0" applyFont="1" applyBorder="1" applyAlignment="1">
      <alignment horizontal="center" vertical="top" wrapText="1"/>
    </xf>
    <xf numFmtId="0" fontId="7" fillId="0" borderId="0" xfId="2" applyFont="1" applyAlignment="1">
      <alignment horizontal="center" vertical="top" wrapText="1"/>
    </xf>
    <xf numFmtId="0" fontId="0" fillId="0" borderId="0" xfId="0"/>
    <xf numFmtId="0" fontId="20" fillId="0" borderId="23" xfId="6" applyFont="1" applyBorder="1" applyAlignment="1">
      <alignment horizontal="center" vertical="center" wrapText="1"/>
    </xf>
    <xf numFmtId="0" fontId="20" fillId="0" borderId="1" xfId="6" applyFont="1" applyBorder="1" applyAlignment="1">
      <alignment horizontal="center" vertical="center" wrapText="1"/>
    </xf>
    <xf numFmtId="0" fontId="7" fillId="0" borderId="1"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applyAlignment="1">
      <alignment vertical="top" wrapText="1"/>
    </xf>
    <xf numFmtId="0" fontId="12" fillId="0" borderId="0" xfId="0" applyFont="1"/>
    <xf numFmtId="0" fontId="16" fillId="0" borderId="0" xfId="0" applyFont="1" applyAlignment="1">
      <alignment horizontal="center"/>
    </xf>
    <xf numFmtId="0" fontId="89" fillId="0" borderId="0" xfId="2" applyFont="1" applyAlignment="1">
      <alignment horizontal="center"/>
    </xf>
    <xf numFmtId="0" fontId="8" fillId="0" borderId="0" xfId="0" applyFont="1" applyAlignment="1">
      <alignment horizontal="right"/>
    </xf>
    <xf numFmtId="0" fontId="0" fillId="0" borderId="0" xfId="0"/>
    <xf numFmtId="0" fontId="75" fillId="0" borderId="3" xfId="0" applyFont="1" applyBorder="1" applyAlignment="1">
      <alignment horizontal="center" vertical="center" wrapText="1"/>
    </xf>
    <xf numFmtId="0" fontId="7" fillId="0" borderId="1" xfId="5" applyFont="1" applyBorder="1" applyAlignment="1">
      <alignment horizontal="center" vertical="center" wrapText="1"/>
    </xf>
    <xf numFmtId="2" fontId="20" fillId="0" borderId="1" xfId="0" applyNumberFormat="1" applyFont="1" applyBorder="1" applyAlignment="1">
      <alignment horizontal="center" vertical="center"/>
    </xf>
    <xf numFmtId="2" fontId="18" fillId="0" borderId="1" xfId="0" applyNumberFormat="1" applyFont="1" applyBorder="1" applyAlignment="1">
      <alignment horizontal="center" vertical="center"/>
    </xf>
    <xf numFmtId="0" fontId="7" fillId="0" borderId="1" xfId="5" applyFont="1" applyBorder="1" applyAlignment="1">
      <alignment horizontal="center" vertical="center" wrapText="1"/>
    </xf>
    <xf numFmtId="0" fontId="7" fillId="2" borderId="1" xfId="0" applyFont="1" applyFill="1" applyBorder="1" applyAlignment="1">
      <alignment horizontal="center" vertical="top" wrapText="1"/>
    </xf>
    <xf numFmtId="0" fontId="22" fillId="2" borderId="1" xfId="0" applyFont="1" applyFill="1" applyBorder="1" applyAlignment="1">
      <alignment horizontal="center" vertical="top" wrapText="1"/>
    </xf>
    <xf numFmtId="0" fontId="3" fillId="0" borderId="0" xfId="7378"/>
    <xf numFmtId="0" fontId="3" fillId="0" borderId="0" xfId="7378" applyAlignment="1">
      <alignment horizontal="left"/>
    </xf>
    <xf numFmtId="0" fontId="118" fillId="0" borderId="0" xfId="7378" applyFont="1" applyAlignment="1">
      <alignment horizontal="left"/>
    </xf>
    <xf numFmtId="0" fontId="23" fillId="0" borderId="0" xfId="7378" applyFont="1" applyBorder="1" applyAlignment="1">
      <alignment horizontal="left"/>
    </xf>
    <xf numFmtId="0" fontId="3" fillId="0" borderId="0" xfId="7378" applyBorder="1" applyAlignment="1">
      <alignment horizontal="center"/>
    </xf>
    <xf numFmtId="0" fontId="23" fillId="0" borderId="0" xfId="7378" applyFont="1" applyAlignment="1">
      <alignment horizontal="center"/>
    </xf>
    <xf numFmtId="0" fontId="118" fillId="0" borderId="1" xfId="7378" applyFont="1" applyBorder="1" applyAlignment="1">
      <alignment horizontal="center" vertical="center" wrapText="1"/>
    </xf>
    <xf numFmtId="0" fontId="22" fillId="0" borderId="1" xfId="0" applyFont="1" applyBorder="1" applyAlignment="1">
      <alignment horizontal="center" vertical="top" wrapText="1"/>
    </xf>
    <xf numFmtId="0" fontId="119" fillId="0" borderId="1" xfId="7378" applyFont="1" applyBorder="1" applyAlignment="1">
      <alignment horizontal="center" vertical="top" wrapText="1"/>
    </xf>
    <xf numFmtId="0" fontId="119" fillId="0" borderId="1" xfId="7378" applyFont="1" applyBorder="1" applyAlignment="1">
      <alignment horizontal="center"/>
    </xf>
    <xf numFmtId="0" fontId="3" fillId="0" borderId="1" xfId="7378" applyBorder="1"/>
    <xf numFmtId="0" fontId="3" fillId="0" borderId="0" xfId="7378" applyBorder="1"/>
    <xf numFmtId="0" fontId="68" fillId="0" borderId="0" xfId="7378" applyFont="1" applyBorder="1"/>
    <xf numFmtId="0" fontId="12" fillId="0" borderId="0" xfId="0" applyFont="1" applyAlignment="1"/>
    <xf numFmtId="0" fontId="60" fillId="0" borderId="0" xfId="7378" applyFont="1" applyAlignment="1">
      <alignment wrapText="1"/>
    </xf>
    <xf numFmtId="0" fontId="23" fillId="0" borderId="0" xfId="7378" applyFont="1"/>
    <xf numFmtId="0" fontId="22" fillId="0" borderId="2" xfId="0" applyFont="1" applyBorder="1" applyAlignment="1">
      <alignment horizontal="center" vertical="top" wrapText="1"/>
    </xf>
    <xf numFmtId="0" fontId="119" fillId="0" borderId="2" xfId="7378" applyFont="1" applyBorder="1" applyAlignment="1">
      <alignment horizontal="center" vertical="top" wrapText="1"/>
    </xf>
    <xf numFmtId="0" fontId="27" fillId="0" borderId="0" xfId="7378" applyFont="1" applyAlignment="1">
      <alignment horizontal="center"/>
    </xf>
    <xf numFmtId="0" fontId="68" fillId="0" borderId="0" xfId="6471" applyFont="1" applyFill="1" applyBorder="1" applyAlignment="1">
      <alignment horizontal="center" vertical="center"/>
    </xf>
    <xf numFmtId="0" fontId="37" fillId="0" borderId="23" xfId="13" applyFont="1" applyBorder="1" applyAlignment="1">
      <alignment horizontal="center" vertical="top" wrapText="1"/>
    </xf>
    <xf numFmtId="0" fontId="37" fillId="2" borderId="51" xfId="13" applyFont="1" applyFill="1" applyBorder="1" applyAlignment="1">
      <alignment horizontal="center" vertical="top" wrapText="1"/>
    </xf>
    <xf numFmtId="0" fontId="38" fillId="0" borderId="3" xfId="13" quotePrefix="1" applyFont="1" applyBorder="1" applyAlignment="1">
      <alignment horizontal="center" vertical="top" wrapText="1"/>
    </xf>
    <xf numFmtId="0" fontId="69" fillId="0" borderId="1" xfId="13" applyFont="1" applyBorder="1" applyAlignment="1">
      <alignment horizontal="center"/>
    </xf>
    <xf numFmtId="0" fontId="12" fillId="0" borderId="3" xfId="13" applyBorder="1"/>
    <xf numFmtId="0" fontId="70" fillId="0" borderId="0" xfId="13" applyFont="1"/>
    <xf numFmtId="0" fontId="7" fillId="0" borderId="0" xfId="7379" applyFont="1"/>
    <xf numFmtId="0" fontId="7" fillId="0" borderId="0" xfId="7379" applyFont="1" applyAlignment="1">
      <alignment horizontal="center" vertical="top" wrapText="1"/>
    </xf>
    <xf numFmtId="0" fontId="84" fillId="0" borderId="1" xfId="0" applyFont="1" applyBorder="1" applyAlignment="1">
      <alignment vertical="center" wrapText="1"/>
    </xf>
    <xf numFmtId="0" fontId="112" fillId="0" borderId="1" xfId="0" applyFont="1" applyBorder="1" applyAlignment="1">
      <alignment vertical="center" wrapText="1"/>
    </xf>
    <xf numFmtId="0" fontId="111" fillId="0" borderId="1" xfId="0" applyFont="1" applyBorder="1" applyAlignment="1">
      <alignment horizontal="center" vertical="center"/>
    </xf>
    <xf numFmtId="0" fontId="7" fillId="0" borderId="1" xfId="13" applyFont="1" applyBorder="1" applyAlignment="1">
      <alignment horizontal="center"/>
    </xf>
    <xf numFmtId="0" fontId="7" fillId="0" borderId="1" xfId="13" applyFont="1" applyBorder="1" applyAlignment="1">
      <alignment horizontal="center" vertical="center"/>
    </xf>
    <xf numFmtId="0" fontId="12" fillId="0" borderId="1" xfId="13" applyBorder="1" applyAlignment="1">
      <alignment horizontal="center"/>
    </xf>
    <xf numFmtId="0" fontId="68" fillId="0" borderId="1" xfId="0" applyFont="1" applyBorder="1" applyAlignment="1">
      <alignment horizontal="center"/>
    </xf>
    <xf numFmtId="0" fontId="68" fillId="0" borderId="1" xfId="0" applyFont="1" applyBorder="1" applyAlignment="1">
      <alignment horizontal="center" wrapText="1"/>
    </xf>
    <xf numFmtId="0" fontId="7" fillId="0" borderId="13" xfId="2" applyFont="1" applyBorder="1" applyAlignment="1">
      <alignment vertical="center" wrapText="1"/>
    </xf>
    <xf numFmtId="0" fontId="7" fillId="0" borderId="0" xfId="2" applyFont="1" applyBorder="1" applyAlignment="1">
      <alignment vertical="center" wrapText="1"/>
    </xf>
    <xf numFmtId="2" fontId="121" fillId="0" borderId="1" xfId="0" applyNumberFormat="1" applyFont="1" applyBorder="1" applyAlignment="1">
      <alignment horizontal="center" vertical="center"/>
    </xf>
    <xf numFmtId="2" fontId="122" fillId="0" borderId="1" xfId="0" applyNumberFormat="1" applyFont="1" applyBorder="1" applyAlignment="1">
      <alignment horizontal="center" vertical="center"/>
    </xf>
    <xf numFmtId="0" fontId="20" fillId="0" borderId="0" xfId="13" applyFont="1" applyAlignment="1"/>
    <xf numFmtId="0" fontId="80" fillId="0" borderId="1" xfId="13" applyFont="1" applyBorder="1"/>
    <xf numFmtId="0" fontId="80" fillId="0" borderId="1" xfId="4" applyFont="1" applyBorder="1"/>
    <xf numFmtId="0" fontId="80" fillId="0" borderId="1" xfId="13" applyFont="1" applyBorder="1" applyAlignment="1">
      <alignment horizontal="left"/>
    </xf>
    <xf numFmtId="0" fontId="80" fillId="0" borderId="1" xfId="13" applyFont="1" applyFill="1" applyBorder="1"/>
    <xf numFmtId="164" fontId="7" fillId="0" borderId="1"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0" fontId="125" fillId="0" borderId="1" xfId="0" quotePrefix="1" applyFont="1" applyBorder="1" applyAlignment="1">
      <alignment horizontal="center" vertical="center" wrapText="1"/>
    </xf>
    <xf numFmtId="0" fontId="126" fillId="0" borderId="1" xfId="0" quotePrefix="1" applyFont="1" applyBorder="1" applyAlignment="1">
      <alignment horizontal="center" vertical="top" wrapText="1"/>
    </xf>
    <xf numFmtId="0" fontId="127" fillId="0" borderId="0" xfId="0" applyFont="1" applyAlignment="1">
      <alignment horizontal="center" vertical="center"/>
    </xf>
    <xf numFmtId="0" fontId="125" fillId="2" borderId="1" xfId="0" applyFont="1" applyFill="1" applyBorder="1" applyAlignment="1">
      <alignment horizontal="center"/>
    </xf>
    <xf numFmtId="0" fontId="125" fillId="2" borderId="1" xfId="0" applyFont="1" applyFill="1" applyBorder="1" applyAlignment="1">
      <alignment horizontal="center" vertical="center"/>
    </xf>
    <xf numFmtId="0" fontId="125" fillId="0" borderId="1" xfId="0" applyFont="1" applyFill="1" applyBorder="1" applyAlignment="1">
      <alignment horizontal="center"/>
    </xf>
    <xf numFmtId="0" fontId="128" fillId="2" borderId="1" xfId="0" applyFont="1" applyFill="1" applyBorder="1" applyAlignment="1">
      <alignment horizontal="center" vertical="center"/>
    </xf>
    <xf numFmtId="0" fontId="128" fillId="0" borderId="1" xfId="0" quotePrefix="1" applyFont="1" applyBorder="1" applyAlignment="1">
      <alignment horizontal="center" vertical="center" wrapText="1"/>
    </xf>
    <xf numFmtId="2" fontId="18" fillId="0" borderId="1" xfId="0" applyNumberFormat="1" applyFont="1" applyBorder="1" applyAlignment="1">
      <alignment horizontal="center" vertical="center"/>
    </xf>
    <xf numFmtId="2" fontId="20" fillId="0" borderId="1" xfId="0" applyNumberFormat="1" applyFont="1" applyBorder="1" applyAlignment="1">
      <alignment horizontal="center" vertical="center"/>
    </xf>
    <xf numFmtId="0" fontId="17" fillId="0" borderId="1" xfId="0" applyFont="1" applyFill="1" applyBorder="1" applyAlignment="1">
      <alignment horizontal="center" vertical="center"/>
    </xf>
    <xf numFmtId="2" fontId="17" fillId="0" borderId="1" xfId="0" applyNumberFormat="1" applyFont="1" applyFill="1" applyBorder="1" applyAlignment="1">
      <alignment horizontal="center" vertical="center"/>
    </xf>
    <xf numFmtId="0" fontId="74" fillId="0" borderId="1" xfId="6471" applyFont="1" applyFill="1" applyBorder="1" applyAlignment="1">
      <alignment horizontal="center" vertical="center"/>
    </xf>
    <xf numFmtId="0" fontId="128" fillId="0" borderId="1" xfId="13" applyFont="1" applyFill="1" applyBorder="1" applyAlignment="1">
      <alignment horizontal="center" vertical="center"/>
    </xf>
    <xf numFmtId="0" fontId="129" fillId="0" borderId="1" xfId="6471" applyFont="1" applyFill="1" applyBorder="1" applyAlignment="1">
      <alignment horizontal="center" vertical="center"/>
    </xf>
    <xf numFmtId="2" fontId="118" fillId="0" borderId="1" xfId="6471" applyNumberFormat="1" applyFont="1" applyFill="1" applyBorder="1" applyAlignment="1">
      <alignment horizontal="center" vertical="center" wrapText="1"/>
    </xf>
    <xf numFmtId="1" fontId="118" fillId="0" borderId="1" xfId="6471" applyNumberFormat="1" applyFont="1" applyFill="1" applyBorder="1" applyAlignment="1">
      <alignment horizontal="center" vertical="center" wrapText="1"/>
    </xf>
    <xf numFmtId="0" fontId="25" fillId="0" borderId="1" xfId="7378" applyFont="1" applyBorder="1" applyAlignment="1">
      <alignment horizontal="center" vertical="center" wrapText="1"/>
    </xf>
    <xf numFmtId="0" fontId="119" fillId="0" borderId="2" xfId="7378" applyFont="1" applyBorder="1" applyAlignment="1">
      <alignment horizontal="center" vertical="center" wrapText="1"/>
    </xf>
    <xf numFmtId="2" fontId="12" fillId="0" borderId="0" xfId="4" applyNumberFormat="1"/>
    <xf numFmtId="2" fontId="14" fillId="0" borderId="0" xfId="0" applyNumberFormat="1" applyFont="1" applyBorder="1" applyAlignment="1">
      <alignment vertical="center"/>
    </xf>
    <xf numFmtId="2" fontId="130" fillId="3" borderId="0" xfId="0" applyNumberFormat="1" applyFont="1" applyFill="1"/>
    <xf numFmtId="2" fontId="130" fillId="0" borderId="0" xfId="0" applyNumberFormat="1" applyFont="1"/>
    <xf numFmtId="2" fontId="22" fillId="0" borderId="0" xfId="0" applyNumberFormat="1" applyFont="1"/>
    <xf numFmtId="0" fontId="7" fillId="0" borderId="59" xfId="4" applyFont="1" applyBorder="1" applyAlignment="1">
      <alignment horizontal="center" vertical="center"/>
    </xf>
    <xf numFmtId="1" fontId="131" fillId="0" borderId="1" xfId="6471" applyNumberFormat="1" applyFont="1" applyFill="1" applyBorder="1" applyAlignment="1">
      <alignment horizontal="center" vertical="center" wrapText="1"/>
    </xf>
    <xf numFmtId="2" fontId="131" fillId="0" borderId="1" xfId="6471" applyNumberFormat="1" applyFont="1" applyFill="1" applyBorder="1" applyAlignment="1">
      <alignment horizontal="center" vertical="center" wrapText="1"/>
    </xf>
    <xf numFmtId="1" fontId="132" fillId="0" borderId="1" xfId="6471" applyNumberFormat="1" applyFont="1" applyFill="1" applyBorder="1" applyAlignment="1">
      <alignment horizontal="center" vertical="center" wrapText="1"/>
    </xf>
    <xf numFmtId="2" fontId="132" fillId="0" borderId="1" xfId="6471"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0" xfId="7379" applyFont="1" applyAlignment="1">
      <alignment horizontal="center" vertical="top" wrapText="1"/>
    </xf>
    <xf numFmtId="0" fontId="7" fillId="0" borderId="0" xfId="0" applyFont="1" applyAlignment="1">
      <alignment vertical="top" wrapText="1"/>
    </xf>
    <xf numFmtId="0" fontId="12" fillId="0" borderId="0" xfId="0" applyFont="1"/>
    <xf numFmtId="0" fontId="8" fillId="0" borderId="0" xfId="0" applyFont="1" applyAlignment="1">
      <alignment horizontal="right"/>
    </xf>
    <xf numFmtId="0" fontId="7" fillId="0" borderId="0" xfId="4" applyFont="1" applyAlignment="1">
      <alignment horizontal="center"/>
    </xf>
    <xf numFmtId="0" fontId="12" fillId="0" borderId="20" xfId="4" applyFont="1" applyBorder="1" applyAlignment="1">
      <alignment horizontal="center" vertical="center"/>
    </xf>
    <xf numFmtId="0" fontId="12" fillId="0" borderId="27" xfId="4" applyFont="1" applyBorder="1" applyAlignment="1">
      <alignment horizontal="center" vertical="center"/>
    </xf>
    <xf numFmtId="0" fontId="12" fillId="0" borderId="11" xfId="4" applyFont="1" applyBorder="1" applyAlignment="1">
      <alignment horizontal="center" vertical="center"/>
    </xf>
    <xf numFmtId="0" fontId="12" fillId="0" borderId="13" xfId="4" applyFont="1" applyFill="1" applyBorder="1" applyAlignment="1">
      <alignment horizontal="center" vertical="center"/>
    </xf>
    <xf numFmtId="0" fontId="12" fillId="0" borderId="6" xfId="4" applyFont="1" applyFill="1" applyBorder="1" applyAlignment="1">
      <alignment horizontal="center" vertical="center"/>
    </xf>
    <xf numFmtId="0" fontId="12" fillId="0" borderId="12" xfId="4" applyFont="1" applyFill="1" applyBorder="1" applyAlignment="1">
      <alignment horizontal="center" vertical="center" wrapText="1"/>
    </xf>
    <xf numFmtId="0" fontId="12" fillId="0" borderId="14" xfId="4" applyFont="1" applyFill="1" applyBorder="1" applyAlignment="1">
      <alignment horizontal="center" vertical="center"/>
    </xf>
    <xf numFmtId="0" fontId="12" fillId="0" borderId="13" xfId="4" applyFont="1" applyFill="1" applyBorder="1" applyAlignment="1">
      <alignment horizontal="center" vertical="center" wrapText="1"/>
    </xf>
    <xf numFmtId="49" fontId="12" fillId="0" borderId="12" xfId="4" applyNumberFormat="1" applyFont="1" applyFill="1" applyBorder="1" applyAlignment="1">
      <alignment horizontal="center" vertical="center" wrapText="1"/>
    </xf>
    <xf numFmtId="0" fontId="12" fillId="0" borderId="12" xfId="4" applyFont="1" applyBorder="1" applyAlignment="1">
      <alignment horizontal="center" vertical="center"/>
    </xf>
    <xf numFmtId="0" fontId="12" fillId="0" borderId="72" xfId="4" applyFont="1" applyFill="1" applyBorder="1" applyAlignment="1">
      <alignment horizontal="center" vertical="center"/>
    </xf>
    <xf numFmtId="0" fontId="12" fillId="0" borderId="7" xfId="4" applyFont="1" applyFill="1" applyBorder="1" applyAlignment="1">
      <alignment horizontal="center" vertical="center"/>
    </xf>
    <xf numFmtId="0" fontId="12" fillId="0" borderId="12" xfId="4" applyFont="1" applyFill="1" applyBorder="1" applyAlignment="1">
      <alignment horizontal="center" vertical="center"/>
    </xf>
    <xf numFmtId="49" fontId="12" fillId="0" borderId="14" xfId="12" applyNumberFormat="1" applyFont="1" applyBorder="1" applyAlignment="1">
      <alignment horizontal="center" vertical="center" wrapText="1"/>
    </xf>
    <xf numFmtId="0" fontId="12" fillId="0" borderId="12" xfId="12" applyFont="1" applyBorder="1" applyAlignment="1">
      <alignment horizontal="center" vertical="center"/>
    </xf>
    <xf numFmtId="165" fontId="12" fillId="0" borderId="14" xfId="4" applyNumberFormat="1" applyFont="1" applyFill="1" applyBorder="1" applyAlignment="1">
      <alignment horizontal="center" vertical="center"/>
    </xf>
    <xf numFmtId="165" fontId="12" fillId="0" borderId="11" xfId="4" applyNumberFormat="1" applyFont="1" applyFill="1" applyBorder="1" applyAlignment="1">
      <alignment horizontal="center" vertical="center"/>
    </xf>
    <xf numFmtId="0" fontId="18" fillId="0" borderId="1" xfId="3" applyFont="1" applyFill="1" applyBorder="1" applyAlignment="1">
      <alignment horizontal="center"/>
    </xf>
    <xf numFmtId="0" fontId="115" fillId="0" borderId="1" xfId="0" applyFont="1" applyFill="1" applyBorder="1" applyAlignment="1">
      <alignment horizontal="center" wrapText="1"/>
    </xf>
    <xf numFmtId="0" fontId="7" fillId="0" borderId="1" xfId="3" applyFont="1" applyBorder="1"/>
    <xf numFmtId="0" fontId="12" fillId="0" borderId="0" xfId="4" applyFont="1" applyFill="1" applyBorder="1" applyAlignment="1">
      <alignment horizontal="center" vertical="center"/>
    </xf>
    <xf numFmtId="165" fontId="12" fillId="0" borderId="17" xfId="4" applyNumberFormat="1" applyFont="1" applyFill="1" applyBorder="1" applyAlignment="1">
      <alignment horizontal="center" vertical="center"/>
    </xf>
    <xf numFmtId="0" fontId="0" fillId="0" borderId="12" xfId="0" applyFill="1" applyBorder="1" applyAlignment="1">
      <alignment horizontal="center" vertical="center"/>
    </xf>
    <xf numFmtId="165" fontId="12" fillId="0" borderId="6" xfId="4" applyNumberFormat="1" applyFont="1" applyFill="1" applyBorder="1" applyAlignment="1">
      <alignment horizontal="center" vertical="center"/>
    </xf>
    <xf numFmtId="49" fontId="12" fillId="0" borderId="71" xfId="4" applyNumberFormat="1" applyFont="1" applyFill="1" applyBorder="1" applyAlignment="1">
      <alignment horizontal="center" vertical="center" wrapText="1"/>
    </xf>
    <xf numFmtId="49" fontId="12" fillId="0" borderId="30" xfId="4" applyNumberFormat="1" applyFont="1" applyFill="1" applyBorder="1" applyAlignment="1">
      <alignment horizontal="center" vertical="center" wrapText="1"/>
    </xf>
    <xf numFmtId="165" fontId="12" fillId="0" borderId="7" xfId="4" applyNumberFormat="1" applyFont="1" applyFill="1" applyBorder="1" applyAlignment="1">
      <alignment horizontal="center" vertical="center"/>
    </xf>
    <xf numFmtId="165" fontId="12" fillId="0" borderId="13" xfId="4" applyNumberFormat="1" applyFont="1" applyFill="1" applyBorder="1" applyAlignment="1">
      <alignment horizontal="center" vertical="center"/>
    </xf>
    <xf numFmtId="0" fontId="12" fillId="0" borderId="69" xfId="4" applyFont="1" applyFill="1" applyBorder="1" applyAlignment="1">
      <alignment horizontal="center" vertical="center"/>
    </xf>
    <xf numFmtId="0" fontId="12" fillId="0" borderId="42" xfId="4" applyFont="1" applyFill="1" applyBorder="1" applyAlignment="1">
      <alignment horizontal="center" vertical="center"/>
    </xf>
    <xf numFmtId="0" fontId="12" fillId="0" borderId="1" xfId="13" applyFill="1" applyBorder="1" applyAlignment="1">
      <alignment horizontal="center" vertical="center"/>
    </xf>
    <xf numFmtId="0" fontId="12" fillId="0" borderId="0" xfId="13" applyFill="1" applyAlignment="1">
      <alignment horizontal="center" vertical="center"/>
    </xf>
    <xf numFmtId="0" fontId="126" fillId="0" borderId="1" xfId="0" quotePrefix="1" applyFont="1" applyFill="1" applyBorder="1" applyAlignment="1">
      <alignment horizontal="center" vertical="top" wrapText="1"/>
    </xf>
    <xf numFmtId="165" fontId="12" fillId="0" borderId="72" xfId="4" applyNumberFormat="1" applyFont="1" applyFill="1" applyBorder="1" applyAlignment="1">
      <alignment horizontal="center" vertical="center"/>
    </xf>
    <xf numFmtId="49" fontId="108" fillId="0" borderId="30" xfId="4" applyNumberFormat="1" applyFont="1" applyFill="1" applyBorder="1" applyAlignment="1">
      <alignment horizontal="center" vertical="center" wrapText="1"/>
    </xf>
    <xf numFmtId="0" fontId="12" fillId="0" borderId="30" xfId="4" applyFont="1" applyFill="1" applyBorder="1" applyAlignment="1">
      <alignment horizontal="center" vertical="center"/>
    </xf>
    <xf numFmtId="0" fontId="12" fillId="0" borderId="7" xfId="4" applyFont="1" applyFill="1" applyBorder="1" applyAlignment="1">
      <alignment horizontal="center" vertical="center" wrapText="1"/>
    </xf>
    <xf numFmtId="0" fontId="12" fillId="0" borderId="42" xfId="4" applyFont="1" applyBorder="1" applyAlignment="1">
      <alignment horizontal="center" vertical="center"/>
    </xf>
    <xf numFmtId="165" fontId="12" fillId="0" borderId="42" xfId="4" applyNumberFormat="1" applyFont="1" applyFill="1" applyBorder="1" applyAlignment="1">
      <alignment horizontal="center" vertical="center"/>
    </xf>
    <xf numFmtId="49" fontId="12" fillId="0" borderId="11" xfId="4" applyNumberFormat="1" applyFont="1" applyFill="1" applyBorder="1" applyAlignment="1">
      <alignment horizontal="center" vertical="center" wrapText="1"/>
    </xf>
    <xf numFmtId="0" fontId="7" fillId="0" borderId="26" xfId="4" applyFont="1" applyBorder="1" applyAlignment="1">
      <alignment horizontal="center" vertical="center"/>
    </xf>
    <xf numFmtId="0" fontId="12" fillId="0" borderId="25" xfId="4" applyFont="1" applyBorder="1" applyAlignment="1">
      <alignment horizontal="center" vertical="center"/>
    </xf>
    <xf numFmtId="0" fontId="12" fillId="0" borderId="25" xfId="4" applyFont="1" applyFill="1" applyBorder="1" applyAlignment="1">
      <alignment horizontal="center" vertical="center" wrapText="1"/>
    </xf>
    <xf numFmtId="0" fontId="12" fillId="0" borderId="25" xfId="4" applyFont="1" applyFill="1" applyBorder="1" applyAlignment="1">
      <alignment horizontal="center" vertical="center"/>
    </xf>
    <xf numFmtId="165" fontId="12" fillId="0" borderId="25" xfId="4" applyNumberFormat="1" applyFont="1" applyFill="1" applyBorder="1" applyAlignment="1">
      <alignment horizontal="center" vertical="center"/>
    </xf>
    <xf numFmtId="0" fontId="7" fillId="4" borderId="15" xfId="4" applyFont="1" applyFill="1" applyBorder="1" applyAlignment="1">
      <alignment horizontal="center" vertical="center"/>
    </xf>
    <xf numFmtId="0" fontId="7" fillId="4" borderId="9" xfId="4" applyFont="1" applyFill="1" applyBorder="1" applyAlignment="1">
      <alignment horizontal="center" vertical="center"/>
    </xf>
    <xf numFmtId="0" fontId="7" fillId="4" borderId="10" xfId="4" applyFont="1" applyFill="1" applyBorder="1" applyAlignment="1">
      <alignment horizontal="center" vertical="center"/>
    </xf>
    <xf numFmtId="165" fontId="7" fillId="4" borderId="9" xfId="4" applyNumberFormat="1" applyFont="1" applyFill="1" applyBorder="1" applyAlignment="1">
      <alignment horizontal="center" vertical="center"/>
    </xf>
    <xf numFmtId="165" fontId="7" fillId="4" borderId="10" xfId="4" applyNumberFormat="1" applyFont="1" applyFill="1" applyBorder="1" applyAlignment="1">
      <alignment horizontal="center" vertical="center"/>
    </xf>
    <xf numFmtId="0" fontId="12" fillId="4" borderId="16" xfId="4" applyFont="1" applyFill="1" applyBorder="1" applyAlignment="1">
      <alignment horizontal="center" vertical="center" wrapText="1"/>
    </xf>
    <xf numFmtId="0" fontId="7" fillId="4" borderId="33" xfId="4" applyFont="1" applyFill="1" applyBorder="1" applyAlignment="1">
      <alignment horizontal="center" vertical="center"/>
    </xf>
    <xf numFmtId="0" fontId="7" fillId="4" borderId="34" xfId="4" applyFont="1" applyFill="1" applyBorder="1" applyAlignment="1">
      <alignment horizontal="center" vertical="center"/>
    </xf>
    <xf numFmtId="165" fontId="7" fillId="4" borderId="34" xfId="4" applyNumberFormat="1" applyFont="1" applyFill="1" applyBorder="1" applyAlignment="1">
      <alignment horizontal="center" vertical="center"/>
    </xf>
    <xf numFmtId="0" fontId="12" fillId="4" borderId="35" xfId="4" applyFont="1" applyFill="1" applyBorder="1" applyAlignment="1">
      <alignment horizontal="center" vertical="center" wrapText="1"/>
    </xf>
    <xf numFmtId="0" fontId="12" fillId="4" borderId="33" xfId="4" applyFont="1" applyFill="1" applyBorder="1" applyAlignment="1">
      <alignment horizontal="center" vertical="center"/>
    </xf>
    <xf numFmtId="0" fontId="7" fillId="4" borderId="59" xfId="4" applyFont="1" applyFill="1" applyBorder="1" applyAlignment="1">
      <alignment horizontal="center" vertical="center"/>
    </xf>
    <xf numFmtId="0" fontId="7" fillId="4" borderId="54" xfId="4" applyFont="1" applyFill="1" applyBorder="1" applyAlignment="1">
      <alignment horizontal="center" vertical="center" wrapText="1"/>
    </xf>
    <xf numFmtId="0" fontId="7" fillId="4" borderId="59" xfId="4" applyFont="1" applyFill="1" applyBorder="1" applyAlignment="1">
      <alignment horizontal="center" vertical="center" wrapText="1"/>
    </xf>
    <xf numFmtId="0" fontId="7" fillId="4" borderId="54" xfId="4" applyFont="1" applyFill="1" applyBorder="1" applyAlignment="1">
      <alignment horizontal="center" vertical="center"/>
    </xf>
    <xf numFmtId="0" fontId="12" fillId="0" borderId="70" xfId="4" applyFont="1" applyFill="1" applyBorder="1" applyAlignment="1">
      <alignment horizontal="center" vertical="center"/>
    </xf>
    <xf numFmtId="0" fontId="0" fillId="0" borderId="30" xfId="0" applyFill="1" applyBorder="1" applyAlignment="1">
      <alignment horizontal="center" vertical="center"/>
    </xf>
    <xf numFmtId="0" fontId="12" fillId="0" borderId="11" xfId="4" applyFont="1" applyFill="1" applyBorder="1" applyAlignment="1">
      <alignment horizontal="center" vertical="center"/>
    </xf>
    <xf numFmtId="165" fontId="12" fillId="0" borderId="11" xfId="4" applyNumberFormat="1" applyFont="1" applyFill="1" applyBorder="1" applyAlignment="1">
      <alignment horizontal="center" vertical="center"/>
    </xf>
    <xf numFmtId="0" fontId="7" fillId="0" borderId="1" xfId="0" applyFont="1" applyBorder="1" applyAlignment="1">
      <alignment horizontal="center" vertical="center"/>
    </xf>
    <xf numFmtId="0" fontId="7" fillId="0" borderId="1" xfId="5" applyFont="1" applyBorder="1" applyAlignment="1">
      <alignment horizontal="center" vertical="center" wrapText="1"/>
    </xf>
    <xf numFmtId="0" fontId="12" fillId="0" borderId="50" xfId="0" applyFont="1" applyBorder="1" applyAlignment="1">
      <alignment horizontal="center" vertical="center"/>
    </xf>
    <xf numFmtId="0" fontId="12" fillId="0" borderId="12" xfId="12" applyFont="1" applyBorder="1" applyAlignment="1">
      <alignment horizontal="center" vertical="center"/>
    </xf>
    <xf numFmtId="0" fontId="12" fillId="0" borderId="39" xfId="12" applyFont="1" applyBorder="1" applyAlignment="1">
      <alignment horizontal="center" vertical="center"/>
    </xf>
    <xf numFmtId="2" fontId="12" fillId="0" borderId="0" xfId="0" applyNumberFormat="1" applyFont="1" applyFill="1" applyBorder="1" applyAlignment="1">
      <alignment horizontal="center" vertical="center"/>
    </xf>
    <xf numFmtId="2" fontId="12" fillId="0" borderId="0" xfId="0" applyNumberFormat="1" applyFont="1" applyAlignment="1">
      <alignment vertical="top" wrapText="1"/>
    </xf>
    <xf numFmtId="0" fontId="20" fillId="0" borderId="0" xfId="0" applyFont="1" applyBorder="1" applyAlignment="1">
      <alignment horizontal="center" vertical="center"/>
    </xf>
    <xf numFmtId="0" fontId="7" fillId="0" borderId="0" xfId="0" applyFont="1" applyAlignment="1">
      <alignment horizontal="center"/>
    </xf>
    <xf numFmtId="0" fontId="20" fillId="0" borderId="0" xfId="0" applyFont="1" applyAlignment="1">
      <alignment horizontal="center"/>
    </xf>
    <xf numFmtId="0" fontId="7" fillId="0" borderId="0" xfId="0" applyFont="1" applyAlignment="1">
      <alignment horizontal="center"/>
    </xf>
    <xf numFmtId="0" fontId="7" fillId="0" borderId="1" xfId="0" applyFont="1" applyBorder="1" applyAlignment="1">
      <alignment horizontal="center" vertical="center"/>
    </xf>
    <xf numFmtId="0" fontId="7" fillId="0" borderId="0" xfId="0" applyFont="1" applyAlignment="1">
      <alignment vertical="top" wrapText="1"/>
    </xf>
    <xf numFmtId="0" fontId="12" fillId="0" borderId="0" xfId="0" applyFont="1"/>
    <xf numFmtId="0" fontId="0" fillId="0" borderId="0" xfId="0"/>
    <xf numFmtId="0" fontId="26" fillId="0" borderId="1" xfId="2" applyFont="1" applyBorder="1" applyAlignment="1">
      <alignment horizontal="center" vertical="center" wrapText="1"/>
    </xf>
    <xf numFmtId="0" fontId="26" fillId="0" borderId="23" xfId="2" applyFont="1" applyBorder="1" applyAlignment="1">
      <alignment horizontal="center" vertical="center" wrapText="1"/>
    </xf>
    <xf numFmtId="0" fontId="17" fillId="0" borderId="0" xfId="0" applyFont="1" applyAlignment="1">
      <alignment horizontal="justify" vertical="top" wrapText="1"/>
    </xf>
    <xf numFmtId="0" fontId="12" fillId="0" borderId="0" xfId="0" applyFont="1" applyAlignment="1">
      <alignment horizontal="justify" vertical="top" wrapText="1"/>
    </xf>
    <xf numFmtId="0" fontId="0" fillId="0" borderId="0" xfId="0" applyAlignment="1">
      <alignment wrapText="1"/>
    </xf>
    <xf numFmtId="9" fontId="11" fillId="0" borderId="0" xfId="7380" applyFont="1" applyAlignment="1">
      <alignment horizontal="center"/>
    </xf>
    <xf numFmtId="9" fontId="7" fillId="0" borderId="0" xfId="7380" applyFont="1" applyAlignment="1">
      <alignment horizontal="center"/>
    </xf>
    <xf numFmtId="0" fontId="7" fillId="0" borderId="25" xfId="0" applyFont="1" applyFill="1" applyBorder="1" applyAlignment="1">
      <alignment horizontal="center" vertical="center" wrapText="1"/>
    </xf>
    <xf numFmtId="9" fontId="12" fillId="0" borderId="0" xfId="7380" applyFont="1"/>
    <xf numFmtId="2" fontId="7" fillId="0" borderId="0" xfId="0" applyNumberFormat="1" applyFont="1"/>
    <xf numFmtId="2" fontId="48" fillId="0" borderId="0" xfId="0" applyNumberFormat="1" applyFont="1" applyBorder="1" applyAlignment="1">
      <alignment horizontal="center" vertical="center"/>
    </xf>
    <xf numFmtId="2" fontId="48" fillId="0" borderId="0" xfId="0" applyNumberFormat="1" applyFont="1" applyBorder="1" applyAlignment="1">
      <alignment vertical="center"/>
    </xf>
    <xf numFmtId="9" fontId="7" fillId="0" borderId="0" xfId="7380" applyFont="1" applyBorder="1" applyAlignment="1">
      <alignment horizontal="center"/>
    </xf>
    <xf numFmtId="9" fontId="7" fillId="0" borderId="0" xfId="7380" applyFont="1" applyBorder="1" applyAlignment="1">
      <alignment horizontal="center" vertical="center" wrapText="1"/>
    </xf>
    <xf numFmtId="0" fontId="7" fillId="0" borderId="0" xfId="0" applyFont="1" applyBorder="1" applyAlignment="1">
      <alignment horizontal="center"/>
    </xf>
    <xf numFmtId="0" fontId="12" fillId="0" borderId="0" xfId="5400" applyFont="1"/>
    <xf numFmtId="0" fontId="17" fillId="0" borderId="0" xfId="5400" applyFont="1" applyAlignment="1"/>
    <xf numFmtId="0" fontId="11" fillId="0" borderId="0" xfId="5400" applyFont="1" applyAlignment="1"/>
    <xf numFmtId="0" fontId="8" fillId="0" borderId="0" xfId="5400" applyFont="1" applyAlignment="1">
      <alignment horizontal="right"/>
    </xf>
    <xf numFmtId="0" fontId="8" fillId="0" borderId="0" xfId="5400" applyFont="1" applyAlignment="1"/>
    <xf numFmtId="0" fontId="16" fillId="0" borderId="0" xfId="5400" applyFont="1" applyAlignment="1"/>
    <xf numFmtId="0" fontId="12" fillId="0" borderId="0" xfId="5400"/>
    <xf numFmtId="0" fontId="22" fillId="0" borderId="2" xfId="5400" applyFont="1" applyBorder="1" applyAlignment="1">
      <alignment horizontal="center" vertical="center" wrapText="1"/>
    </xf>
    <xf numFmtId="0" fontId="17" fillId="0" borderId="1" xfId="5400" applyFont="1" applyFill="1" applyBorder="1" applyAlignment="1">
      <alignment horizontal="center" vertical="center"/>
    </xf>
    <xf numFmtId="2" fontId="17" fillId="0" borderId="1" xfId="5400" applyNumberFormat="1" applyFont="1" applyFill="1" applyBorder="1" applyAlignment="1">
      <alignment horizontal="center" vertical="center"/>
    </xf>
    <xf numFmtId="0" fontId="7" fillId="0" borderId="0" xfId="5400" applyFont="1"/>
    <xf numFmtId="0" fontId="7" fillId="0" borderId="0" xfId="5400" applyFont="1" applyAlignment="1"/>
    <xf numFmtId="0" fontId="7" fillId="0" borderId="0"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22" fillId="0" borderId="0" xfId="0" applyFont="1" applyBorder="1" applyAlignment="1">
      <alignment horizontal="center"/>
    </xf>
    <xf numFmtId="0" fontId="7" fillId="0" borderId="24" xfId="0" applyFont="1" applyBorder="1" applyAlignment="1">
      <alignment horizontal="center" vertical="center" wrapText="1"/>
    </xf>
    <xf numFmtId="0" fontId="7" fillId="0" borderId="1" xfId="4" applyFont="1" applyBorder="1" applyAlignment="1">
      <alignment horizontal="center" vertical="center" wrapText="1"/>
    </xf>
    <xf numFmtId="0" fontId="0" fillId="0" borderId="0" xfId="0"/>
    <xf numFmtId="0" fontId="7" fillId="0" borderId="1" xfId="4" applyFont="1" applyBorder="1" applyAlignment="1">
      <alignment horizontal="center" vertical="center"/>
    </xf>
    <xf numFmtId="9" fontId="7" fillId="0" borderId="62" xfId="7380" applyFont="1" applyFill="1" applyBorder="1" applyAlignment="1">
      <alignment horizontal="center" vertical="center"/>
    </xf>
    <xf numFmtId="9" fontId="7" fillId="0" borderId="0" xfId="7380" applyFont="1" applyFill="1" applyBorder="1" applyAlignment="1">
      <alignment horizontal="center"/>
    </xf>
    <xf numFmtId="9" fontId="7" fillId="0" borderId="0" xfId="7380" applyFont="1"/>
    <xf numFmtId="0" fontId="19" fillId="0" borderId="0" xfId="0" applyFont="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applyAlignment="1">
      <alignment vertical="top" wrapText="1"/>
    </xf>
    <xf numFmtId="0" fontId="12" fillId="0" borderId="0" xfId="0" applyFont="1"/>
    <xf numFmtId="0" fontId="7" fillId="0" borderId="0" xfId="0" applyFont="1" applyFill="1" applyAlignment="1">
      <alignment horizontal="center" vertical="top" wrapText="1"/>
    </xf>
    <xf numFmtId="0" fontId="7" fillId="0" borderId="1" xfId="0" applyFont="1" applyFill="1" applyBorder="1" applyAlignment="1">
      <alignment horizontal="center" vertical="center" wrapText="1"/>
    </xf>
    <xf numFmtId="0" fontId="0" fillId="0" borderId="0" xfId="0"/>
    <xf numFmtId="0" fontId="81" fillId="3" borderId="0" xfId="7378" applyFont="1" applyFill="1"/>
    <xf numFmtId="0" fontId="2" fillId="0" borderId="0" xfId="7378" applyFont="1"/>
    <xf numFmtId="1" fontId="12" fillId="0" borderId="0" xfId="2" applyNumberFormat="1" applyFont="1" applyBorder="1" applyAlignment="1">
      <alignment horizontal="center" vertical="center"/>
    </xf>
    <xf numFmtId="0" fontId="7" fillId="0" borderId="1" xfId="0" applyFont="1" applyFill="1" applyBorder="1" applyAlignment="1">
      <alignment horizontal="center" vertical="center" wrapText="1"/>
    </xf>
    <xf numFmtId="0" fontId="26" fillId="0" borderId="3"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20" fillId="0" borderId="0" xfId="13" applyFont="1" applyAlignment="1">
      <alignment horizontal="center"/>
    </xf>
    <xf numFmtId="0" fontId="62" fillId="0" borderId="0" xfId="0" applyFont="1" applyAlignment="1">
      <alignment horizontal="center" wrapText="1"/>
    </xf>
    <xf numFmtId="0" fontId="18" fillId="0" borderId="1" xfId="0" applyFont="1" applyBorder="1" applyAlignment="1">
      <alignment horizontal="center" vertical="center"/>
    </xf>
    <xf numFmtId="0" fontId="20" fillId="0" borderId="0" xfId="0" applyFont="1" applyAlignment="1">
      <alignment horizontal="center" vertical="top" wrapText="1"/>
    </xf>
    <xf numFmtId="0" fontId="20" fillId="0" borderId="23"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 xfId="0" applyFont="1" applyBorder="1" applyAlignment="1">
      <alignment horizontal="left" vertical="center"/>
    </xf>
    <xf numFmtId="0" fontId="20" fillId="0" borderId="1" xfId="0" applyFont="1" applyBorder="1" applyAlignment="1">
      <alignment horizontal="center" vertical="center" wrapText="1"/>
    </xf>
    <xf numFmtId="0" fontId="28" fillId="0" borderId="1" xfId="0" quotePrefix="1" applyFont="1" applyBorder="1" applyAlignment="1">
      <alignment horizontal="center" vertical="center" wrapText="1"/>
    </xf>
    <xf numFmtId="0" fontId="20" fillId="0" borderId="1" xfId="0" applyFont="1" applyBorder="1" applyAlignment="1">
      <alignment horizontal="center" vertical="center"/>
    </xf>
    <xf numFmtId="0" fontId="18" fillId="0" borderId="3" xfId="0" applyFont="1" applyBorder="1" applyAlignment="1">
      <alignment horizontal="center"/>
    </xf>
    <xf numFmtId="0" fontId="18" fillId="0" borderId="4" xfId="0" applyFont="1" applyBorder="1" applyAlignment="1">
      <alignment horizontal="center"/>
    </xf>
    <xf numFmtId="0" fontId="20" fillId="0" borderId="0" xfId="0" applyFont="1" applyBorder="1" applyAlignment="1">
      <alignment horizontal="left"/>
    </xf>
    <xf numFmtId="0" fontId="20" fillId="0" borderId="1" xfId="0" applyFont="1" applyBorder="1" applyAlignment="1">
      <alignment horizontal="center" wrapText="1"/>
    </xf>
    <xf numFmtId="0" fontId="20" fillId="0" borderId="3" xfId="0" applyFont="1" applyBorder="1" applyAlignment="1">
      <alignment horizontal="center" wrapText="1"/>
    </xf>
    <xf numFmtId="0" fontId="20" fillId="0" borderId="4" xfId="0" applyFont="1" applyBorder="1" applyAlignment="1">
      <alignment horizontal="center" wrapText="1"/>
    </xf>
    <xf numFmtId="0" fontId="7" fillId="0" borderId="0" xfId="0" applyFont="1" applyAlignment="1">
      <alignment horizontal="center"/>
    </xf>
    <xf numFmtId="0" fontId="51" fillId="0" borderId="0" xfId="0" applyFont="1" applyAlignment="1">
      <alignment horizontal="center"/>
    </xf>
    <xf numFmtId="0" fontId="89" fillId="0" borderId="0" xfId="0" applyFont="1" applyAlignment="1">
      <alignment horizontal="center"/>
    </xf>
    <xf numFmtId="0" fontId="19" fillId="0" borderId="0" xfId="0" applyFont="1" applyAlignment="1">
      <alignment horizontal="center" vertical="center"/>
    </xf>
    <xf numFmtId="0" fontId="20" fillId="0" borderId="0" xfId="0" applyFont="1" applyAlignment="1">
      <alignment horizontal="left"/>
    </xf>
    <xf numFmtId="0" fontId="20" fillId="0" borderId="0" xfId="0" applyFont="1" applyAlignment="1">
      <alignment horizontal="center"/>
    </xf>
    <xf numFmtId="2" fontId="20" fillId="0" borderId="1" xfId="0" applyNumberFormat="1" applyFont="1" applyBorder="1" applyAlignment="1">
      <alignment horizontal="center" vertical="center"/>
    </xf>
    <xf numFmtId="2" fontId="18" fillId="0" borderId="1" xfId="0" applyNumberFormat="1" applyFont="1" applyBorder="1" applyAlignment="1">
      <alignment horizontal="center" vertical="center"/>
    </xf>
    <xf numFmtId="0" fontId="20" fillId="0" borderId="1" xfId="0" applyFont="1" applyBorder="1" applyAlignment="1">
      <alignment horizontal="left" vertical="center" wrapText="1"/>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xf>
    <xf numFmtId="0" fontId="20" fillId="0" borderId="3"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xf>
    <xf numFmtId="0" fontId="20" fillId="0" borderId="4" xfId="0" applyFont="1" applyBorder="1" applyAlignment="1">
      <alignment horizontal="center"/>
    </xf>
    <xf numFmtId="0" fontId="20" fillId="0" borderId="0" xfId="0" applyFont="1" applyBorder="1" applyAlignment="1">
      <alignment horizontal="left" vertical="top" wrapText="1"/>
    </xf>
    <xf numFmtId="0" fontId="20" fillId="0" borderId="51" xfId="0" applyFont="1" applyBorder="1" applyAlignment="1">
      <alignment horizontal="center" vertical="top"/>
    </xf>
    <xf numFmtId="0" fontId="20" fillId="0" borderId="13" xfId="0" applyFont="1" applyBorder="1" applyAlignment="1">
      <alignment horizontal="center" vertical="top"/>
    </xf>
    <xf numFmtId="0" fontId="20" fillId="0" borderId="52" xfId="0" applyFont="1" applyBorder="1" applyAlignment="1">
      <alignment horizontal="center" vertical="top"/>
    </xf>
    <xf numFmtId="0" fontId="20" fillId="0" borderId="24" xfId="0" applyFont="1" applyBorder="1" applyAlignment="1">
      <alignment horizontal="center" vertical="top"/>
    </xf>
    <xf numFmtId="0" fontId="20" fillId="0" borderId="6" xfId="0" applyFont="1" applyBorder="1" applyAlignment="1">
      <alignment horizontal="center" vertical="top"/>
    </xf>
    <xf numFmtId="0" fontId="20" fillId="0" borderId="50" xfId="0" applyFont="1" applyBorder="1" applyAlignment="1">
      <alignment horizontal="center" vertical="top"/>
    </xf>
    <xf numFmtId="0" fontId="20" fillId="0" borderId="3" xfId="0" applyFont="1" applyBorder="1" applyAlignment="1">
      <alignment horizontal="center" vertical="top" wrapText="1"/>
    </xf>
    <xf numFmtId="0" fontId="20" fillId="0" borderId="7" xfId="0" applyFont="1" applyBorder="1" applyAlignment="1">
      <alignment horizontal="center" vertical="top" wrapText="1"/>
    </xf>
    <xf numFmtId="0" fontId="20" fillId="0" borderId="4" xfId="0" applyFont="1" applyBorder="1" applyAlignment="1">
      <alignment horizontal="center" vertical="top" wrapText="1"/>
    </xf>
    <xf numFmtId="0" fontId="20" fillId="0" borderId="7" xfId="0" applyFont="1" applyBorder="1" applyAlignment="1">
      <alignment horizontal="center"/>
    </xf>
    <xf numFmtId="0" fontId="20" fillId="0" borderId="0" xfId="0" applyFont="1" applyAlignment="1">
      <alignment horizontal="right" vertical="top" wrapText="1"/>
    </xf>
    <xf numFmtId="0" fontId="18" fillId="0" borderId="0" xfId="0" applyFont="1"/>
    <xf numFmtId="0" fontId="20" fillId="0" borderId="0" xfId="0" applyFont="1" applyBorder="1" applyAlignment="1">
      <alignment horizontal="center" vertical="center"/>
    </xf>
    <xf numFmtId="9" fontId="18" fillId="0" borderId="0" xfId="0" applyNumberFormat="1" applyFont="1" applyFill="1" applyBorder="1" applyAlignment="1">
      <alignment horizontal="center"/>
    </xf>
    <xf numFmtId="0" fontId="18" fillId="0" borderId="0" xfId="0" applyFont="1" applyFill="1" applyBorder="1" applyAlignment="1">
      <alignment horizontal="center"/>
    </xf>
    <xf numFmtId="10" fontId="18" fillId="0" borderId="0" xfId="0" applyNumberFormat="1" applyFont="1" applyFill="1" applyBorder="1" applyAlignment="1">
      <alignment horizontal="center"/>
    </xf>
    <xf numFmtId="0" fontId="20" fillId="0" borderId="0" xfId="0" applyFont="1" applyBorder="1" applyAlignment="1">
      <alignment horizontal="center" vertical="center" wrapText="1"/>
    </xf>
    <xf numFmtId="0" fontId="20" fillId="0" borderId="0" xfId="0" applyFont="1" applyBorder="1" applyAlignment="1">
      <alignment horizontal="left" wrapText="1"/>
    </xf>
    <xf numFmtId="0" fontId="7" fillId="0" borderId="0" xfId="0" applyFont="1" applyAlignment="1">
      <alignment horizontal="center" vertical="top" wrapText="1"/>
    </xf>
    <xf numFmtId="0" fontId="7" fillId="0" borderId="0" xfId="0" applyFont="1" applyAlignment="1">
      <alignment horizontal="center" vertical="center" wrapText="1"/>
    </xf>
    <xf numFmtId="0" fontId="7" fillId="0" borderId="0" xfId="0" applyFont="1" applyAlignment="1">
      <alignment horizontal="left"/>
    </xf>
    <xf numFmtId="0" fontId="7" fillId="0" borderId="59" xfId="0" applyFont="1" applyBorder="1" applyAlignment="1">
      <alignment horizontal="center" vertical="center"/>
    </xf>
    <xf numFmtId="0" fontId="7" fillId="0" borderId="4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51" fillId="0" borderId="0" xfId="0" applyFont="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89" fillId="0" borderId="0" xfId="0" applyFont="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0" xfId="0" applyFont="1" applyBorder="1" applyAlignment="1">
      <alignment horizontal="center" vertical="center"/>
    </xf>
    <xf numFmtId="0" fontId="7" fillId="0" borderId="58" xfId="0" applyFont="1" applyBorder="1" applyAlignment="1">
      <alignment horizontal="center" vertical="center"/>
    </xf>
    <xf numFmtId="0" fontId="7" fillId="0" borderId="0" xfId="0" applyFont="1" applyAlignment="1">
      <alignment horizontal="left" vertical="top" wrapText="1"/>
    </xf>
    <xf numFmtId="0" fontId="68" fillId="0" borderId="26" xfId="0" applyFont="1" applyBorder="1" applyAlignment="1">
      <alignment horizontal="right"/>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7" xfId="0" applyFont="1" applyBorder="1" applyAlignment="1">
      <alignment horizontal="center" vertical="center" wrapText="1"/>
    </xf>
    <xf numFmtId="0" fontId="20" fillId="0" borderId="51" xfId="6" applyFont="1" applyBorder="1" applyAlignment="1">
      <alignment horizontal="center" vertical="center" wrapText="1"/>
    </xf>
    <xf numFmtId="0" fontId="20" fillId="0" borderId="13" xfId="6" applyFont="1" applyBorder="1" applyAlignment="1">
      <alignment horizontal="center" vertical="center" wrapText="1"/>
    </xf>
    <xf numFmtId="0" fontId="20" fillId="0" borderId="52" xfId="6" applyFont="1" applyBorder="1" applyAlignment="1">
      <alignment horizontal="center" vertical="center" wrapText="1"/>
    </xf>
    <xf numFmtId="0" fontId="20" fillId="0" borderId="62" xfId="6" applyFont="1" applyBorder="1" applyAlignment="1">
      <alignment horizontal="center" vertical="center" wrapText="1"/>
    </xf>
    <xf numFmtId="0" fontId="20" fillId="0" borderId="0" xfId="6" applyFont="1" applyBorder="1" applyAlignment="1">
      <alignment horizontal="center" vertical="center" wrapText="1"/>
    </xf>
    <xf numFmtId="0" fontId="20" fillId="0" borderId="41" xfId="6" applyFont="1" applyBorder="1" applyAlignment="1">
      <alignment horizontal="center" vertical="center" wrapText="1"/>
    </xf>
    <xf numFmtId="0" fontId="20" fillId="0" borderId="24" xfId="6" applyFont="1" applyBorder="1" applyAlignment="1">
      <alignment horizontal="center" vertical="center" wrapText="1"/>
    </xf>
    <xf numFmtId="0" fontId="20" fillId="0" borderId="6" xfId="6" applyFont="1" applyBorder="1" applyAlignment="1">
      <alignment horizontal="center" vertical="center" wrapText="1"/>
    </xf>
    <xf numFmtId="0" fontId="20" fillId="0" borderId="50" xfId="6" applyFont="1" applyBorder="1" applyAlignment="1">
      <alignment horizontal="center" vertical="center" wrapText="1"/>
    </xf>
    <xf numFmtId="0" fontId="18" fillId="0" borderId="51" xfId="6" applyFont="1" applyBorder="1" applyAlignment="1">
      <alignment horizontal="center" vertical="center" wrapText="1"/>
    </xf>
    <xf numFmtId="0" fontId="18" fillId="0" borderId="13" xfId="6" applyFont="1" applyBorder="1" applyAlignment="1">
      <alignment horizontal="center" vertical="center" wrapText="1"/>
    </xf>
    <xf numFmtId="0" fontId="18" fillId="0" borderId="52" xfId="6" applyFont="1" applyBorder="1" applyAlignment="1">
      <alignment horizontal="center" vertical="center" wrapText="1"/>
    </xf>
    <xf numFmtId="0" fontId="18" fillId="0" borderId="24" xfId="6" applyFont="1" applyBorder="1" applyAlignment="1">
      <alignment horizontal="center" vertical="center" wrapText="1"/>
    </xf>
    <xf numFmtId="0" fontId="18" fillId="0" borderId="6" xfId="6" applyFont="1" applyBorder="1" applyAlignment="1">
      <alignment horizontal="center" vertical="center" wrapText="1"/>
    </xf>
    <xf numFmtId="0" fontId="18" fillId="0" borderId="50" xfId="6" applyFont="1" applyBorder="1" applyAlignment="1">
      <alignment horizontal="center" vertical="center" wrapText="1"/>
    </xf>
    <xf numFmtId="0" fontId="7" fillId="0" borderId="6" xfId="6" applyFont="1" applyBorder="1" applyAlignment="1">
      <alignment horizontal="center" vertical="center"/>
    </xf>
    <xf numFmtId="0" fontId="20" fillId="0" borderId="23" xfId="6" applyFont="1" applyBorder="1" applyAlignment="1">
      <alignment horizontal="center" vertical="center" wrapText="1"/>
    </xf>
    <xf numFmtId="0" fontId="20" fillId="0" borderId="25" xfId="6" applyFont="1" applyBorder="1" applyAlignment="1">
      <alignment horizontal="center" vertical="center" wrapText="1"/>
    </xf>
    <xf numFmtId="0" fontId="20" fillId="0" borderId="2" xfId="6" applyFont="1" applyBorder="1" applyAlignment="1">
      <alignment horizontal="center" vertical="center" wrapText="1"/>
    </xf>
    <xf numFmtId="0" fontId="20" fillId="0" borderId="1" xfId="6" applyFont="1" applyBorder="1" applyAlignment="1">
      <alignment horizontal="center" vertical="center" wrapText="1"/>
    </xf>
    <xf numFmtId="0" fontId="11" fillId="0" borderId="0" xfId="4" applyFont="1" applyAlignment="1">
      <alignment horizontal="center"/>
    </xf>
    <xf numFmtId="0" fontId="33" fillId="0" borderId="0" xfId="6" applyFont="1" applyAlignment="1">
      <alignment horizontal="center"/>
    </xf>
    <xf numFmtId="0" fontId="95" fillId="0" borderId="0" xfId="4" applyFont="1" applyAlignment="1">
      <alignment horizontal="center" vertical="center"/>
    </xf>
    <xf numFmtId="0" fontId="20" fillId="0" borderId="0" xfId="4" applyFont="1" applyAlignment="1">
      <alignment horizontal="center"/>
    </xf>
    <xf numFmtId="0" fontId="21" fillId="0" borderId="0" xfId="4" applyFont="1" applyAlignment="1">
      <alignment horizontal="center"/>
    </xf>
    <xf numFmtId="0" fontId="11" fillId="0" borderId="0" xfId="4" applyFont="1" applyAlignment="1">
      <alignment horizontal="right" vertical="top" wrapText="1"/>
    </xf>
    <xf numFmtId="0" fontId="11" fillId="0" borderId="0" xfId="6" applyFont="1" applyAlignment="1">
      <alignment horizontal="left"/>
    </xf>
    <xf numFmtId="0" fontId="11" fillId="0" borderId="3" xfId="6" applyFont="1" applyBorder="1" applyAlignment="1">
      <alignment horizontal="center" vertical="center" wrapText="1"/>
    </xf>
    <xf numFmtId="0" fontId="11" fillId="0" borderId="7" xfId="6" applyFont="1" applyBorder="1" applyAlignment="1">
      <alignment horizontal="center" vertical="center" wrapText="1"/>
    </xf>
    <xf numFmtId="0" fontId="11" fillId="0" borderId="4" xfId="6" applyFont="1" applyBorder="1" applyAlignment="1">
      <alignment horizontal="center" vertical="center" wrapText="1"/>
    </xf>
    <xf numFmtId="0" fontId="11" fillId="0" borderId="1" xfId="6" applyFont="1" applyBorder="1" applyAlignment="1">
      <alignment horizontal="center" vertical="center" wrapText="1"/>
    </xf>
    <xf numFmtId="0" fontId="18" fillId="0" borderId="0" xfId="6" applyFont="1" applyAlignment="1">
      <alignment horizontal="left"/>
    </xf>
    <xf numFmtId="0" fontId="11" fillId="0" borderId="0" xfId="0" applyFont="1" applyAlignment="1">
      <alignment horizontal="center"/>
    </xf>
    <xf numFmtId="0" fontId="96" fillId="0" borderId="0" xfId="0" applyFont="1" applyAlignment="1">
      <alignment horizontal="center" wrapText="1"/>
    </xf>
    <xf numFmtId="0" fontId="54" fillId="0" borderId="6" xfId="0" applyFont="1" applyBorder="1" applyAlignment="1">
      <alignment horizontal="right"/>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2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xf>
    <xf numFmtId="0" fontId="12" fillId="0" borderId="0" xfId="0" applyFont="1" applyBorder="1" applyAlignment="1">
      <alignment horizontal="center"/>
    </xf>
    <xf numFmtId="0" fontId="12" fillId="0" borderId="1" xfId="0" applyFont="1" applyBorder="1" applyAlignment="1">
      <alignment horizontal="center"/>
    </xf>
    <xf numFmtId="0" fontId="19" fillId="0" borderId="0" xfId="0" applyFont="1" applyAlignment="1">
      <alignment horizontal="center"/>
    </xf>
    <xf numFmtId="0" fontId="54" fillId="0" borderId="0" xfId="0" applyFont="1" applyBorder="1" applyAlignment="1">
      <alignment horizontal="center"/>
    </xf>
    <xf numFmtId="0" fontId="7" fillId="0" borderId="23" xfId="0" applyFont="1" applyBorder="1" applyAlignment="1">
      <alignment horizontal="center" vertical="top" wrapText="1"/>
    </xf>
    <xf numFmtId="0" fontId="7" fillId="0" borderId="50" xfId="0" applyFont="1" applyBorder="1" applyAlignment="1">
      <alignment horizontal="center" vertical="top" wrapText="1"/>
    </xf>
    <xf numFmtId="0" fontId="7" fillId="0" borderId="1" xfId="0" applyFont="1" applyBorder="1" applyAlignment="1">
      <alignment horizontal="center" vertical="center" wrapText="1"/>
    </xf>
    <xf numFmtId="0" fontId="97" fillId="0" borderId="0" xfId="0" applyFont="1" applyAlignment="1">
      <alignment horizontal="center"/>
    </xf>
    <xf numFmtId="0" fontId="52" fillId="0" borderId="6" xfId="0" applyFont="1" applyBorder="1" applyAlignment="1">
      <alignment horizontal="left"/>
    </xf>
    <xf numFmtId="0" fontId="7" fillId="0" borderId="1" xfId="0" applyFont="1" applyBorder="1" applyAlignment="1">
      <alignment horizontal="center"/>
    </xf>
    <xf numFmtId="0" fontId="0" fillId="0" borderId="0" xfId="0" applyAlignment="1">
      <alignment horizontal="center"/>
    </xf>
    <xf numFmtId="0" fontId="7" fillId="0" borderId="0" xfId="0" applyFont="1" applyAlignment="1">
      <alignment horizontal="right" vertical="center" wrapText="1"/>
    </xf>
    <xf numFmtId="0" fontId="12" fillId="0" borderId="1" xfId="0" applyFont="1" applyBorder="1" applyAlignment="1">
      <alignment horizontal="center" vertical="center"/>
    </xf>
    <xf numFmtId="0" fontId="17" fillId="0" borderId="0" xfId="0" applyFont="1" applyAlignment="1">
      <alignment horizontal="center"/>
    </xf>
    <xf numFmtId="0" fontId="22" fillId="0" borderId="0" xfId="0" applyFont="1" applyBorder="1" applyAlignment="1">
      <alignment horizontal="center"/>
    </xf>
    <xf numFmtId="0" fontId="0" fillId="0" borderId="0" xfId="0" applyBorder="1" applyAlignment="1">
      <alignment horizontal="center"/>
    </xf>
    <xf numFmtId="0" fontId="12" fillId="0" borderId="1" xfId="0" applyFont="1" applyBorder="1" applyAlignment="1">
      <alignment horizontal="center" vertical="center" wrapText="1"/>
    </xf>
    <xf numFmtId="0" fontId="48" fillId="0" borderId="0" xfId="0" applyFont="1" applyAlignment="1">
      <alignment horizontal="left" wrapText="1"/>
    </xf>
    <xf numFmtId="0" fontId="12" fillId="0" borderId="0" xfId="0" applyFont="1" applyAlignment="1">
      <alignment horizontal="center"/>
    </xf>
    <xf numFmtId="0" fontId="19" fillId="0" borderId="0" xfId="0" applyFont="1" applyAlignment="1">
      <alignment horizontal="right"/>
    </xf>
    <xf numFmtId="0" fontId="7" fillId="0" borderId="4" xfId="0" applyFont="1" applyBorder="1" applyAlignment="1">
      <alignment horizontal="center" vertical="center"/>
    </xf>
    <xf numFmtId="0" fontId="89" fillId="0" borderId="0" xfId="0" applyFont="1" applyAlignment="1">
      <alignment horizontal="center" wrapText="1"/>
    </xf>
    <xf numFmtId="0" fontId="7" fillId="0" borderId="0" xfId="0" applyFont="1" applyAlignment="1">
      <alignment horizontal="right" vertical="top" wrapText="1"/>
    </xf>
    <xf numFmtId="0" fontId="7" fillId="0" borderId="0" xfId="0" applyFont="1" applyAlignment="1">
      <alignment vertical="top" wrapText="1"/>
    </xf>
    <xf numFmtId="0" fontId="22" fillId="0" borderId="6" xfId="0" applyFont="1" applyBorder="1" applyAlignment="1">
      <alignment horizontal="right"/>
    </xf>
    <xf numFmtId="0" fontId="0" fillId="0" borderId="0" xfId="0" applyAlignment="1">
      <alignment horizontal="left"/>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xf>
    <xf numFmtId="0" fontId="7" fillId="0" borderId="0" xfId="7376" applyFont="1" applyAlignment="1">
      <alignment horizontal="center" vertical="top" wrapText="1"/>
    </xf>
    <xf numFmtId="0" fontId="34" fillId="0" borderId="0" xfId="13" applyFont="1" applyAlignment="1">
      <alignment horizontal="center"/>
    </xf>
    <xf numFmtId="0" fontId="35" fillId="0" borderId="0" xfId="13" applyFont="1" applyAlignment="1">
      <alignment horizontal="center"/>
    </xf>
    <xf numFmtId="0" fontId="34" fillId="0" borderId="0" xfId="13" applyFont="1" applyAlignment="1">
      <alignment horizontal="center" wrapText="1"/>
    </xf>
    <xf numFmtId="0" fontId="12" fillId="0" borderId="0" xfId="0" applyFont="1"/>
    <xf numFmtId="0" fontId="7" fillId="0" borderId="6" xfId="0" applyFont="1" applyBorder="1" applyAlignment="1">
      <alignment horizontal="center"/>
    </xf>
    <xf numFmtId="0" fontId="7" fillId="0" borderId="1" xfId="0" applyFont="1" applyBorder="1" applyAlignment="1">
      <alignment horizontal="center" vertical="top" wrapText="1"/>
    </xf>
    <xf numFmtId="0" fontId="19" fillId="0" borderId="0" xfId="0" applyFont="1" applyAlignment="1">
      <alignment horizontal="left"/>
    </xf>
    <xf numFmtId="0" fontId="7" fillId="0" borderId="3" xfId="0" applyFont="1" applyBorder="1" applyAlignment="1">
      <alignment horizontal="center"/>
    </xf>
    <xf numFmtId="0" fontId="7" fillId="0" borderId="7" xfId="0" applyFont="1" applyBorder="1" applyAlignment="1">
      <alignment horizontal="center"/>
    </xf>
    <xf numFmtId="0" fontId="7" fillId="0" borderId="4" xfId="0" applyFont="1" applyBorder="1" applyAlignment="1">
      <alignment horizontal="center"/>
    </xf>
    <xf numFmtId="0" fontId="16" fillId="0" borderId="0" xfId="0" applyFont="1" applyAlignment="1">
      <alignment horizontal="center"/>
    </xf>
    <xf numFmtId="0" fontId="98" fillId="0" borderId="0" xfId="0" applyFont="1" applyAlignment="1">
      <alignment horizontal="center" wrapText="1"/>
    </xf>
    <xf numFmtId="0" fontId="16" fillId="0" borderId="51" xfId="0" applyFont="1" applyBorder="1" applyAlignment="1">
      <alignment horizontal="center" vertical="center"/>
    </xf>
    <xf numFmtId="0" fontId="16" fillId="0" borderId="13" xfId="0" applyFont="1" applyBorder="1" applyAlignment="1">
      <alignment horizontal="center" vertical="center"/>
    </xf>
    <xf numFmtId="0" fontId="16" fillId="0" borderId="52" xfId="0" applyFont="1" applyBorder="1" applyAlignment="1">
      <alignment horizontal="center" vertical="center"/>
    </xf>
    <xf numFmtId="0" fontId="16" fillId="0" borderId="62" xfId="0" applyFont="1" applyBorder="1" applyAlignment="1">
      <alignment horizontal="center" vertical="center"/>
    </xf>
    <xf numFmtId="0" fontId="16" fillId="0" borderId="0" xfId="0" applyFont="1" applyBorder="1" applyAlignment="1">
      <alignment horizontal="center" vertical="center"/>
    </xf>
    <xf numFmtId="0" fontId="16" fillId="0" borderId="41" xfId="0" applyFont="1" applyBorder="1" applyAlignment="1">
      <alignment horizontal="center" vertical="center"/>
    </xf>
    <xf numFmtId="0" fontId="16" fillId="0" borderId="24" xfId="0" applyFont="1" applyBorder="1" applyAlignment="1">
      <alignment horizontal="center" vertical="center"/>
    </xf>
    <xf numFmtId="0" fontId="16" fillId="0" borderId="6" xfId="0" applyFont="1" applyBorder="1" applyAlignment="1">
      <alignment horizontal="center" vertical="center"/>
    </xf>
    <xf numFmtId="0" fontId="16" fillId="0" borderId="50" xfId="0" applyFont="1" applyBorder="1" applyAlignment="1">
      <alignment horizontal="center" vertical="center"/>
    </xf>
    <xf numFmtId="0" fontId="7" fillId="0" borderId="51" xfId="0" applyFont="1" applyBorder="1" applyAlignment="1">
      <alignment horizontal="center" vertical="center"/>
    </xf>
    <xf numFmtId="0" fontId="12" fillId="0" borderId="13" xfId="0" applyFont="1" applyBorder="1" applyAlignment="1">
      <alignment horizontal="center" vertical="center"/>
    </xf>
    <xf numFmtId="0" fontId="12" fillId="0" borderId="52" xfId="0" applyFont="1" applyBorder="1" applyAlignment="1">
      <alignment horizontal="center" vertical="center"/>
    </xf>
    <xf numFmtId="0" fontId="12" fillId="0" borderId="62" xfId="0" applyFont="1" applyBorder="1" applyAlignment="1">
      <alignment horizontal="center" vertical="center"/>
    </xf>
    <xf numFmtId="0" fontId="12" fillId="0" borderId="0" xfId="0" applyFont="1" applyBorder="1" applyAlignment="1">
      <alignment horizontal="center" vertical="center"/>
    </xf>
    <xf numFmtId="0" fontId="12" fillId="0" borderId="41" xfId="0" applyFont="1" applyBorder="1" applyAlignment="1">
      <alignment horizontal="center" vertical="center"/>
    </xf>
    <xf numFmtId="0" fontId="12" fillId="0" borderId="24" xfId="0" applyFont="1" applyBorder="1" applyAlignment="1">
      <alignment horizontal="center" vertical="center"/>
    </xf>
    <xf numFmtId="0" fontId="12" fillId="0" borderId="6" xfId="0" applyFont="1" applyBorder="1" applyAlignment="1">
      <alignment horizontal="center" vertical="center"/>
    </xf>
    <xf numFmtId="0" fontId="12" fillId="0" borderId="50" xfId="0" applyFont="1" applyBorder="1" applyAlignment="1">
      <alignment horizontal="center" vertical="center"/>
    </xf>
    <xf numFmtId="0" fontId="22" fillId="0" borderId="6" xfId="0" applyFont="1" applyBorder="1" applyAlignment="1">
      <alignment horizontal="center"/>
    </xf>
    <xf numFmtId="0" fontId="7" fillId="0" borderId="0" xfId="0" applyFont="1" applyBorder="1" applyAlignment="1">
      <alignment horizontal="right"/>
    </xf>
    <xf numFmtId="0" fontId="7" fillId="0" borderId="1" xfId="2" applyFont="1" applyBorder="1" applyAlignment="1">
      <alignment horizontal="center" vertical="center" wrapText="1"/>
    </xf>
    <xf numFmtId="0" fontId="89" fillId="0" borderId="0" xfId="2" applyFont="1" applyAlignment="1">
      <alignment horizontal="center"/>
    </xf>
    <xf numFmtId="0" fontId="13" fillId="0" borderId="0" xfId="2" applyFont="1" applyBorder="1" applyAlignment="1">
      <alignment horizontal="left"/>
    </xf>
    <xf numFmtId="0" fontId="7" fillId="2" borderId="23" xfId="2" applyFont="1" applyFill="1" applyBorder="1" applyAlignment="1">
      <alignment horizontal="center" vertical="center" wrapText="1"/>
    </xf>
    <xf numFmtId="0" fontId="7" fillId="2" borderId="25"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11" fillId="0" borderId="0" xfId="2" applyFont="1" applyAlignment="1">
      <alignment horizontal="center"/>
    </xf>
    <xf numFmtId="0" fontId="11" fillId="0" borderId="51" xfId="0" applyFont="1" applyBorder="1" applyAlignment="1">
      <alignment horizontal="center" vertical="center"/>
    </xf>
    <xf numFmtId="0" fontId="11" fillId="0" borderId="13" xfId="0" applyFont="1" applyBorder="1" applyAlignment="1">
      <alignment horizontal="center" vertical="center"/>
    </xf>
    <xf numFmtId="0" fontId="11" fillId="0" borderId="52" xfId="0" applyFont="1" applyBorder="1" applyAlignment="1">
      <alignment horizontal="center" vertical="center"/>
    </xf>
    <xf numFmtId="0" fontId="11" fillId="0" borderId="62" xfId="0" applyFont="1" applyBorder="1" applyAlignment="1">
      <alignment horizontal="center" vertical="center"/>
    </xf>
    <xf numFmtId="0" fontId="11" fillId="0" borderId="0" xfId="0" applyFont="1" applyBorder="1" applyAlignment="1">
      <alignment horizontal="center" vertical="center"/>
    </xf>
    <xf numFmtId="0" fontId="11" fillId="0" borderId="41" xfId="0" applyFont="1" applyBorder="1" applyAlignment="1">
      <alignment horizontal="center" vertical="center"/>
    </xf>
    <xf numFmtId="0" fontId="11" fillId="0" borderId="24" xfId="0" applyFont="1" applyBorder="1" applyAlignment="1">
      <alignment horizontal="center" vertical="center"/>
    </xf>
    <xf numFmtId="0" fontId="11" fillId="0" borderId="6" xfId="0" applyFont="1" applyBorder="1" applyAlignment="1">
      <alignment horizontal="center" vertical="center"/>
    </xf>
    <xf numFmtId="0" fontId="11" fillId="0" borderId="50" xfId="0" applyFont="1" applyBorder="1" applyAlignment="1">
      <alignment horizontal="center" vertical="center"/>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52" xfId="0" applyFont="1" applyBorder="1" applyAlignment="1">
      <alignment horizontal="center" vertical="center" wrapText="1"/>
    </xf>
    <xf numFmtId="0" fontId="14" fillId="0" borderId="0" xfId="0" applyFont="1" applyBorder="1" applyAlignment="1">
      <alignment horizontal="left" vertical="center" wrapText="1"/>
    </xf>
    <xf numFmtId="0" fontId="8" fillId="0" borderId="0" xfId="0" applyFont="1" applyAlignment="1">
      <alignment horizontal="center"/>
    </xf>
    <xf numFmtId="0" fontId="54" fillId="0" borderId="6" xfId="0" applyFont="1" applyBorder="1" applyAlignment="1">
      <alignment horizontal="center"/>
    </xf>
    <xf numFmtId="0" fontId="52" fillId="0" borderId="0" xfId="0" applyFont="1" applyAlignment="1">
      <alignment horizontal="center"/>
    </xf>
    <xf numFmtId="0" fontId="11" fillId="0" borderId="0" xfId="0" applyFont="1" applyAlignment="1">
      <alignment horizontal="right" vertical="top" wrapText="1"/>
    </xf>
    <xf numFmtId="0" fontId="20" fillId="0" borderId="7" xfId="0" applyFont="1" applyBorder="1" applyAlignment="1">
      <alignment horizontal="center" vertical="center"/>
    </xf>
    <xf numFmtId="0" fontId="52" fillId="0" borderId="6" xfId="0" applyFont="1" applyBorder="1" applyAlignment="1">
      <alignment horizontal="center"/>
    </xf>
    <xf numFmtId="0" fontId="9" fillId="0" borderId="0" xfId="0" applyFont="1" applyAlignment="1">
      <alignment horizontal="center"/>
    </xf>
    <xf numFmtId="0" fontId="20" fillId="0" borderId="23" xfId="0" applyFont="1" applyBorder="1" applyAlignment="1">
      <alignment horizontal="center" vertical="center"/>
    </xf>
    <xf numFmtId="0" fontId="20" fillId="0" borderId="2" xfId="0" applyFont="1" applyBorder="1" applyAlignment="1">
      <alignment horizontal="center" vertical="center"/>
    </xf>
    <xf numFmtId="0" fontId="46" fillId="0" borderId="0" xfId="0" applyFont="1" applyAlignment="1">
      <alignment horizontal="center"/>
    </xf>
    <xf numFmtId="0" fontId="95" fillId="0" borderId="0" xfId="0" applyFont="1" applyAlignment="1">
      <alignment horizontal="center"/>
    </xf>
    <xf numFmtId="0" fontId="7" fillId="0" borderId="6" xfId="0" applyFont="1" applyBorder="1" applyAlignment="1">
      <alignment horizontal="left"/>
    </xf>
    <xf numFmtId="0" fontId="8" fillId="0" borderId="0" xfId="0" applyFont="1" applyAlignment="1">
      <alignment horizontal="right"/>
    </xf>
    <xf numFmtId="0" fontId="52" fillId="0" borderId="6" xfId="0" applyFont="1" applyBorder="1" applyAlignment="1">
      <alignment horizontal="right"/>
    </xf>
    <xf numFmtId="0" fontId="120" fillId="0" borderId="0" xfId="0" applyFont="1" applyAlignment="1">
      <alignment horizontal="center" vertical="center" wrapText="1"/>
    </xf>
    <xf numFmtId="0" fontId="52" fillId="0" borderId="0" xfId="0" applyFont="1" applyAlignment="1">
      <alignment horizontal="left"/>
    </xf>
    <xf numFmtId="0" fontId="7" fillId="0" borderId="13" xfId="0" applyFont="1" applyBorder="1" applyAlignment="1">
      <alignment horizontal="left" vertical="center" wrapText="1"/>
    </xf>
    <xf numFmtId="164" fontId="12" fillId="0" borderId="23" xfId="0" applyNumberFormat="1" applyFont="1" applyBorder="1" applyAlignment="1">
      <alignment horizontal="center" vertical="center" wrapText="1"/>
    </xf>
    <xf numFmtId="164" fontId="12" fillId="0" borderId="25" xfId="0" applyNumberFormat="1" applyFont="1" applyBorder="1" applyAlignment="1">
      <alignment horizontal="center" vertical="center" wrapText="1"/>
    </xf>
    <xf numFmtId="164" fontId="12" fillId="0" borderId="2" xfId="0" applyNumberFormat="1" applyFont="1" applyBorder="1" applyAlignment="1">
      <alignment horizontal="center" vertical="center" wrapText="1"/>
    </xf>
    <xf numFmtId="2" fontId="12" fillId="0" borderId="23" xfId="0" applyNumberFormat="1" applyFont="1" applyBorder="1" applyAlignment="1">
      <alignment horizontal="center" vertical="center"/>
    </xf>
    <xf numFmtId="0" fontId="12" fillId="0" borderId="25" xfId="0" applyFont="1" applyBorder="1" applyAlignment="1">
      <alignment horizontal="center" vertical="center"/>
    </xf>
    <xf numFmtId="0" fontId="12" fillId="0" borderId="2" xfId="0" applyFont="1" applyBorder="1" applyAlignment="1">
      <alignment horizontal="center" vertical="center"/>
    </xf>
    <xf numFmtId="0" fontId="99" fillId="0" borderId="0" xfId="0" applyFont="1" applyAlignment="1">
      <alignment horizontal="center"/>
    </xf>
    <xf numFmtId="0" fontId="12" fillId="0" borderId="23" xfId="0" applyFont="1" applyBorder="1" applyAlignment="1">
      <alignment horizontal="center" vertical="center"/>
    </xf>
    <xf numFmtId="2" fontId="12" fillId="0" borderId="23" xfId="0" applyNumberFormat="1" applyFont="1" applyBorder="1" applyAlignment="1">
      <alignment horizontal="center" vertical="center" wrapText="1"/>
    </xf>
    <xf numFmtId="2" fontId="12" fillId="0" borderId="25" xfId="0" applyNumberFormat="1" applyFont="1" applyBorder="1" applyAlignment="1">
      <alignment horizontal="center" vertical="center" wrapText="1"/>
    </xf>
    <xf numFmtId="2" fontId="12" fillId="0" borderId="2" xfId="0" applyNumberFormat="1" applyFont="1" applyBorder="1" applyAlignment="1">
      <alignment horizontal="center" vertical="center" wrapText="1"/>
    </xf>
    <xf numFmtId="164" fontId="12" fillId="0" borderId="23" xfId="0" applyNumberFormat="1" applyFont="1" applyBorder="1" applyAlignment="1">
      <alignment horizontal="center" vertical="center"/>
    </xf>
    <xf numFmtId="164" fontId="12" fillId="0" borderId="25" xfId="0" applyNumberFormat="1" applyFont="1" applyBorder="1" applyAlignment="1">
      <alignment horizontal="center" vertical="center"/>
    </xf>
    <xf numFmtId="164" fontId="12" fillId="0" borderId="2" xfId="0" applyNumberFormat="1" applyFont="1" applyBorder="1" applyAlignment="1">
      <alignment horizontal="center" vertical="center"/>
    </xf>
    <xf numFmtId="2" fontId="12" fillId="0" borderId="25" xfId="0" applyNumberFormat="1" applyFont="1" applyBorder="1" applyAlignment="1">
      <alignment horizontal="center" vertical="center"/>
    </xf>
    <xf numFmtId="2" fontId="12" fillId="0" borderId="2" xfId="0" applyNumberFormat="1" applyFont="1" applyBorder="1" applyAlignment="1">
      <alignment horizontal="center" vertical="center"/>
    </xf>
    <xf numFmtId="0" fontId="12" fillId="0" borderId="23"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 xfId="0" applyFont="1" applyBorder="1" applyAlignment="1">
      <alignment horizontal="center" vertical="center" wrapText="1"/>
    </xf>
    <xf numFmtId="0" fontId="17" fillId="0" borderId="0" xfId="3" applyFont="1" applyAlignment="1">
      <alignment horizontal="center"/>
    </xf>
    <xf numFmtId="0" fontId="11" fillId="0" borderId="0" xfId="3" applyFont="1" applyAlignment="1">
      <alignment horizontal="center"/>
    </xf>
    <xf numFmtId="0" fontId="100" fillId="0" borderId="0" xfId="3" applyFont="1" applyAlignment="1">
      <alignment horizontal="center" wrapText="1"/>
    </xf>
    <xf numFmtId="0" fontId="22" fillId="0" borderId="0" xfId="3" applyFont="1" applyBorder="1" applyAlignment="1">
      <alignment horizontal="right"/>
    </xf>
    <xf numFmtId="0" fontId="7" fillId="0" borderId="1" xfId="3" applyFont="1" applyBorder="1" applyAlignment="1">
      <alignment horizontal="center" vertical="top" wrapText="1"/>
    </xf>
    <xf numFmtId="0" fontId="11" fillId="0" borderId="3" xfId="3" applyFont="1" applyBorder="1" applyAlignment="1">
      <alignment horizontal="center" vertical="center"/>
    </xf>
    <xf numFmtId="0" fontId="11" fillId="0" borderId="7" xfId="3" applyFont="1" applyBorder="1" applyAlignment="1">
      <alignment horizontal="center" vertical="center"/>
    </xf>
    <xf numFmtId="0" fontId="11" fillId="0" borderId="4" xfId="3" applyFont="1" applyBorder="1" applyAlignment="1">
      <alignment horizontal="center" vertical="center"/>
    </xf>
    <xf numFmtId="0" fontId="20" fillId="0" borderId="3" xfId="4" applyFont="1" applyBorder="1" applyAlignment="1">
      <alignment horizontal="center" vertical="center"/>
    </xf>
    <xf numFmtId="0" fontId="20" fillId="0" borderId="4" xfId="4" applyFont="1" applyBorder="1" applyAlignment="1">
      <alignment horizontal="center" vertical="center"/>
    </xf>
    <xf numFmtId="0" fontId="28" fillId="0" borderId="0" xfId="0" applyFont="1" applyAlignment="1">
      <alignment horizontal="center"/>
    </xf>
    <xf numFmtId="0" fontId="83" fillId="0" borderId="1" xfId="0" applyFont="1" applyBorder="1" applyAlignment="1">
      <alignment horizontal="center" vertical="center" wrapText="1"/>
    </xf>
    <xf numFmtId="0" fontId="101" fillId="0" borderId="0" xfId="0" applyFont="1" applyBorder="1" applyAlignment="1">
      <alignment horizontal="center" vertical="top"/>
    </xf>
    <xf numFmtId="0" fontId="7" fillId="0" borderId="0" xfId="2" applyFont="1" applyAlignment="1">
      <alignment horizontal="center" vertical="top" wrapText="1"/>
    </xf>
    <xf numFmtId="0" fontId="22" fillId="0" borderId="6" xfId="0" applyFont="1" applyBorder="1" applyAlignment="1">
      <alignment horizontal="left"/>
    </xf>
    <xf numFmtId="0" fontId="7" fillId="0" borderId="0" xfId="2" applyFont="1" applyAlignment="1">
      <alignment horizontal="center" vertical="center" wrapText="1"/>
    </xf>
    <xf numFmtId="0" fontId="83" fillId="0" borderId="23" xfId="0" applyFont="1" applyBorder="1" applyAlignment="1">
      <alignment horizontal="center" vertical="center" wrapText="1"/>
    </xf>
    <xf numFmtId="0" fontId="83" fillId="0" borderId="25" xfId="0" applyFont="1" applyBorder="1" applyAlignment="1">
      <alignment horizontal="center" vertical="center" wrapText="1"/>
    </xf>
    <xf numFmtId="0" fontId="83" fillId="0" borderId="2" xfId="0" applyFont="1" applyBorder="1" applyAlignment="1">
      <alignment horizontal="center" vertical="center" wrapText="1"/>
    </xf>
    <xf numFmtId="0" fontId="7" fillId="0" borderId="13" xfId="0" applyFont="1" applyBorder="1" applyAlignment="1">
      <alignment horizontal="left" vertical="center"/>
    </xf>
    <xf numFmtId="0" fontId="45" fillId="0" borderId="0" xfId="0" applyFont="1" applyAlignment="1">
      <alignment horizontal="center"/>
    </xf>
    <xf numFmtId="0" fontId="37" fillId="0" borderId="1"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 xfId="0" applyFont="1" applyBorder="1" applyAlignment="1">
      <alignment horizontal="center" vertical="center" wrapText="1"/>
    </xf>
    <xf numFmtId="0" fontId="96" fillId="0" borderId="0" xfId="0" applyFont="1" applyAlignment="1">
      <alignment horizontal="center"/>
    </xf>
    <xf numFmtId="0" fontId="45" fillId="0" borderId="0" xfId="0" applyFont="1" applyAlignment="1">
      <alignment horizontal="center" vertical="center"/>
    </xf>
    <xf numFmtId="0" fontId="37" fillId="0" borderId="6" xfId="0" applyFont="1" applyBorder="1" applyAlignment="1">
      <alignment horizontal="center"/>
    </xf>
    <xf numFmtId="0" fontId="20" fillId="0" borderId="5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50" xfId="0" applyFont="1" applyBorder="1" applyAlignment="1">
      <alignment horizontal="center" vertical="center" wrapText="1"/>
    </xf>
    <xf numFmtId="0" fontId="11" fillId="0" borderId="3" xfId="2" applyFont="1" applyBorder="1" applyAlignment="1">
      <alignment horizontal="center" vertical="center"/>
    </xf>
    <xf numFmtId="0" fontId="11" fillId="0" borderId="7" xfId="2" applyFont="1" applyBorder="1" applyAlignment="1">
      <alignment horizontal="center" vertical="center"/>
    </xf>
    <xf numFmtId="0" fontId="11" fillId="0" borderId="4" xfId="2" applyFont="1" applyBorder="1" applyAlignment="1">
      <alignment horizontal="center" vertical="center"/>
    </xf>
    <xf numFmtId="0" fontId="7" fillId="0" borderId="0" xfId="2" applyFont="1" applyAlignment="1">
      <alignment horizontal="center"/>
    </xf>
    <xf numFmtId="0" fontId="95" fillId="0" borderId="0" xfId="2" applyFont="1" applyAlignment="1">
      <alignment horizontal="center"/>
    </xf>
    <xf numFmtId="0" fontId="95" fillId="0" borderId="0" xfId="2" applyFont="1" applyAlignment="1"/>
    <xf numFmtId="0" fontId="11" fillId="2" borderId="23" xfId="2" quotePrefix="1" applyFont="1" applyFill="1" applyBorder="1" applyAlignment="1">
      <alignment horizontal="center" vertical="center" wrapText="1"/>
    </xf>
    <xf numFmtId="0" fontId="11" fillId="2" borderId="2" xfId="2" quotePrefix="1" applyFont="1" applyFill="1" applyBorder="1" applyAlignment="1">
      <alignment horizontal="center" vertical="center" wrapText="1"/>
    </xf>
    <xf numFmtId="0" fontId="11" fillId="2" borderId="3" xfId="2" quotePrefix="1" applyFont="1" applyFill="1" applyBorder="1" applyAlignment="1">
      <alignment horizontal="center" vertical="center" wrapText="1"/>
    </xf>
    <xf numFmtId="0" fontId="11" fillId="2" borderId="7" xfId="2" quotePrefix="1" applyFont="1" applyFill="1" applyBorder="1" applyAlignment="1">
      <alignment horizontal="center" vertical="center" wrapText="1"/>
    </xf>
    <xf numFmtId="0" fontId="11" fillId="2" borderId="4" xfId="2" quotePrefix="1" applyFont="1" applyFill="1" applyBorder="1" applyAlignment="1">
      <alignment horizontal="center" vertical="center" wrapText="1"/>
    </xf>
    <xf numFmtId="0" fontId="34" fillId="0" borderId="0" xfId="0" applyFont="1" applyAlignment="1">
      <alignment horizontal="center"/>
    </xf>
    <xf numFmtId="0" fontId="7" fillId="0" borderId="0" xfId="7376" applyFont="1" applyAlignment="1">
      <alignment horizontal="center"/>
    </xf>
    <xf numFmtId="0" fontId="35" fillId="0" borderId="0" xfId="0" applyFont="1" applyAlignment="1">
      <alignment horizontal="center"/>
    </xf>
    <xf numFmtId="0" fontId="35" fillId="0" borderId="0" xfId="0" applyFont="1" applyAlignment="1">
      <alignment horizontal="center" wrapText="1"/>
    </xf>
    <xf numFmtId="0" fontId="22" fillId="0" borderId="6" xfId="13" applyFont="1" applyBorder="1" applyAlignment="1">
      <alignment horizontal="right"/>
    </xf>
    <xf numFmtId="0" fontId="123" fillId="0" borderId="23" xfId="0" applyFont="1" applyBorder="1" applyAlignment="1">
      <alignment horizontal="center" vertical="center" wrapText="1"/>
    </xf>
    <xf numFmtId="0" fontId="123" fillId="0" borderId="25" xfId="0" quotePrefix="1" applyFont="1" applyBorder="1" applyAlignment="1">
      <alignment horizontal="center" vertical="center" wrapText="1"/>
    </xf>
    <xf numFmtId="0" fontId="123" fillId="0" borderId="2" xfId="0" quotePrefix="1" applyFont="1" applyBorder="1" applyAlignment="1">
      <alignment horizontal="center" vertical="center" wrapText="1"/>
    </xf>
    <xf numFmtId="0" fontId="124" fillId="0" borderId="23" xfId="0" applyFont="1" applyBorder="1" applyAlignment="1">
      <alignment horizontal="center" vertical="center" wrapText="1"/>
    </xf>
    <xf numFmtId="0" fontId="69" fillId="0" borderId="23" xfId="13" applyFont="1" applyBorder="1" applyAlignment="1">
      <alignment horizontal="center" vertical="center"/>
    </xf>
    <xf numFmtId="0" fontId="69" fillId="0" borderId="25" xfId="13" applyFont="1" applyBorder="1" applyAlignment="1">
      <alignment horizontal="center" vertical="center"/>
    </xf>
    <xf numFmtId="0" fontId="69" fillId="0" borderId="2" xfId="13" applyFont="1" applyBorder="1" applyAlignment="1">
      <alignment horizontal="center" vertical="center"/>
    </xf>
    <xf numFmtId="0" fontId="20" fillId="0" borderId="3" xfId="13" applyFont="1" applyBorder="1" applyAlignment="1">
      <alignment horizontal="center" vertical="center"/>
    </xf>
    <xf numFmtId="0" fontId="20" fillId="0" borderId="4" xfId="13" applyFont="1" applyBorder="1" applyAlignment="1">
      <alignment horizontal="center" vertical="center"/>
    </xf>
    <xf numFmtId="0" fontId="7" fillId="0" borderId="0" xfId="7379" applyFont="1" applyAlignment="1">
      <alignment horizontal="center" vertical="top" wrapText="1"/>
    </xf>
    <xf numFmtId="0" fontId="7" fillId="0" borderId="0" xfId="7379" applyFont="1" applyAlignment="1">
      <alignment horizontal="left" vertical="top" wrapText="1"/>
    </xf>
    <xf numFmtId="0" fontId="7" fillId="0" borderId="0" xfId="7379" applyFont="1" applyAlignment="1">
      <alignment horizontal="center"/>
    </xf>
    <xf numFmtId="0" fontId="123" fillId="0" borderId="23" xfId="0" quotePrefix="1" applyFont="1" applyBorder="1" applyAlignment="1">
      <alignment horizontal="center" vertical="center" wrapText="1"/>
    </xf>
    <xf numFmtId="0" fontId="12" fillId="0" borderId="0" xfId="0" applyFont="1" applyFill="1" applyBorder="1" applyAlignment="1">
      <alignment horizontal="left" vertical="top" wrapText="1"/>
    </xf>
    <xf numFmtId="0" fontId="0" fillId="0" borderId="0" xfId="0" applyFill="1" applyAlignment="1">
      <alignment vertical="top"/>
    </xf>
    <xf numFmtId="2" fontId="12" fillId="0" borderId="23" xfId="0" applyNumberFormat="1" applyFont="1" applyFill="1" applyBorder="1" applyAlignment="1">
      <alignment horizontal="center" vertical="center" wrapText="1"/>
    </xf>
    <xf numFmtId="2" fontId="0" fillId="0" borderId="25" xfId="0" applyNumberFormat="1" applyFill="1" applyBorder="1" applyAlignment="1">
      <alignment horizontal="center" vertical="center" wrapText="1"/>
    </xf>
    <xf numFmtId="2" fontId="0" fillId="0" borderId="2" xfId="0" applyNumberForma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3" xfId="0" applyFont="1" applyFill="1" applyBorder="1" applyAlignment="1">
      <alignment horizontal="center" vertical="top" wrapText="1"/>
    </xf>
    <xf numFmtId="0" fontId="7" fillId="0" borderId="2" xfId="0" applyFont="1" applyFill="1" applyBorder="1" applyAlignment="1">
      <alignment horizontal="center" vertical="top" wrapText="1"/>
    </xf>
    <xf numFmtId="0" fontId="17" fillId="0" borderId="0" xfId="0" applyFont="1" applyFill="1" applyAlignment="1">
      <alignment horizontal="center"/>
    </xf>
    <xf numFmtId="0" fontId="11" fillId="0" borderId="0" xfId="0" applyFont="1" applyFill="1" applyAlignment="1">
      <alignment horizontal="center"/>
    </xf>
    <xf numFmtId="0" fontId="7" fillId="0" borderId="1" xfId="0" applyFont="1" applyFill="1" applyBorder="1" applyAlignment="1">
      <alignment horizontal="center" vertical="center" wrapText="1"/>
    </xf>
    <xf numFmtId="0" fontId="7" fillId="0" borderId="0" xfId="0" applyFont="1" applyFill="1" applyAlignment="1">
      <alignment horizontal="center"/>
    </xf>
    <xf numFmtId="0" fontId="98" fillId="0" borderId="0" xfId="0" applyFont="1" applyFill="1" applyAlignment="1">
      <alignment horizontal="center" vertical="center" wrapText="1"/>
    </xf>
    <xf numFmtId="0" fontId="7" fillId="0" borderId="0" xfId="0" applyFont="1" applyFill="1" applyAlignment="1">
      <alignment horizontal="left"/>
    </xf>
    <xf numFmtId="0" fontId="7" fillId="0" borderId="0" xfId="0" applyFont="1" applyFill="1" applyAlignment="1">
      <alignment horizontal="right"/>
    </xf>
    <xf numFmtId="0" fontId="12" fillId="0" borderId="0" xfId="0" applyFont="1" applyFill="1" applyBorder="1" applyAlignment="1">
      <alignment horizontal="left" vertical="center" wrapText="1"/>
    </xf>
    <xf numFmtId="0" fontId="7" fillId="0" borderId="0" xfId="0" applyFont="1" applyFill="1" applyAlignment="1">
      <alignment horizontal="right" vertical="top" wrapText="1"/>
    </xf>
    <xf numFmtId="0" fontId="7" fillId="0" borderId="0" xfId="0" applyFont="1" applyFill="1" applyAlignment="1">
      <alignment horizontal="center" vertical="top" wrapText="1"/>
    </xf>
    <xf numFmtId="0" fontId="12" fillId="0" borderId="0" xfId="0" applyFont="1" applyFill="1" applyAlignment="1">
      <alignment horizontal="left" vertical="top" wrapText="1"/>
    </xf>
    <xf numFmtId="0" fontId="120" fillId="0" borderId="0" xfId="0" applyFont="1" applyAlignment="1">
      <alignment horizontal="center" wrapText="1"/>
    </xf>
    <xf numFmtId="0" fontId="52" fillId="0" borderId="0" xfId="0" applyFont="1" applyAlignment="1">
      <alignment horizontal="right"/>
    </xf>
    <xf numFmtId="0" fontId="0" fillId="0" borderId="0" xfId="0" applyAlignment="1">
      <alignment vertical="top"/>
    </xf>
    <xf numFmtId="0" fontId="0" fillId="0" borderId="25" xfId="0" applyBorder="1" applyAlignment="1">
      <alignment horizontal="center" vertical="center"/>
    </xf>
    <xf numFmtId="0" fontId="0" fillId="0" borderId="2" xfId="0" applyBorder="1" applyAlignment="1">
      <alignment horizontal="center" vertical="center"/>
    </xf>
    <xf numFmtId="0" fontId="57" fillId="0" borderId="0" xfId="0" applyFont="1" applyAlignment="1">
      <alignment horizontal="center"/>
    </xf>
    <xf numFmtId="0" fontId="89" fillId="0" borderId="0" xfId="0" applyFont="1" applyAlignment="1">
      <alignment horizontal="center" vertical="top" wrapText="1"/>
    </xf>
    <xf numFmtId="0" fontId="98" fillId="0" borderId="0" xfId="0" applyFont="1" applyAlignment="1">
      <alignment horizontal="center" vertical="top" wrapText="1"/>
    </xf>
    <xf numFmtId="0" fontId="91" fillId="2" borderId="3" xfId="0" applyFont="1" applyFill="1" applyBorder="1" applyAlignment="1">
      <alignment horizontal="center" vertical="center" wrapText="1"/>
    </xf>
    <xf numFmtId="0" fontId="91" fillId="2" borderId="7" xfId="0" applyFont="1" applyFill="1" applyBorder="1" applyAlignment="1">
      <alignment horizontal="center" vertical="center" wrapText="1"/>
    </xf>
    <xf numFmtId="0" fontId="91" fillId="2" borderId="4" xfId="0" applyFont="1" applyFill="1" applyBorder="1" applyAlignment="1">
      <alignment horizontal="center" vertical="center" wrapText="1"/>
    </xf>
    <xf numFmtId="0" fontId="91" fillId="0" borderId="1" xfId="0" applyFont="1" applyBorder="1" applyAlignment="1">
      <alignment horizontal="center" vertical="center" wrapText="1"/>
    </xf>
    <xf numFmtId="0" fontId="102" fillId="0" borderId="0" xfId="0" applyFont="1" applyAlignment="1">
      <alignment horizontal="center" vertical="center"/>
    </xf>
    <xf numFmtId="0" fontId="35" fillId="0" borderId="0" xfId="0" applyFont="1" applyAlignment="1">
      <alignment horizontal="center" vertical="center"/>
    </xf>
    <xf numFmtId="0" fontId="7" fillId="0" borderId="0" xfId="2" applyFont="1" applyAlignment="1">
      <alignment horizontal="right" vertical="top" wrapText="1"/>
    </xf>
    <xf numFmtId="0" fontId="37" fillId="0" borderId="23" xfId="3" applyFont="1" applyBorder="1" applyAlignment="1">
      <alignment horizontal="center" vertical="top" wrapText="1"/>
    </xf>
    <xf numFmtId="0" fontId="37" fillId="0" borderId="2" xfId="3" applyFont="1" applyBorder="1" applyAlignment="1">
      <alignment horizontal="center" vertical="top" wrapText="1"/>
    </xf>
    <xf numFmtId="0" fontId="46" fillId="0" borderId="0" xfId="3" applyFont="1" applyAlignment="1">
      <alignment horizontal="center"/>
    </xf>
    <xf numFmtId="0" fontId="9" fillId="0" borderId="0" xfId="3" applyFont="1" applyAlignment="1">
      <alignment horizontal="center"/>
    </xf>
    <xf numFmtId="0" fontId="103" fillId="0" borderId="0" xfId="3" applyFont="1" applyAlignment="1">
      <alignment horizontal="center"/>
    </xf>
    <xf numFmtId="0" fontId="7" fillId="0" borderId="7" xfId="3" applyFont="1" applyBorder="1" applyAlignment="1">
      <alignment horizontal="center" vertical="top" wrapText="1"/>
    </xf>
    <xf numFmtId="0" fontId="12" fillId="0" borderId="23" xfId="3" applyBorder="1" applyAlignment="1">
      <alignment horizontal="center" vertical="center" wrapText="1"/>
    </xf>
    <xf numFmtId="0" fontId="12" fillId="0" borderId="25" xfId="3" applyBorder="1" applyAlignment="1">
      <alignment horizontal="center" vertical="center" wrapText="1"/>
    </xf>
    <xf numFmtId="0" fontId="64" fillId="0" borderId="51" xfId="3" applyFont="1" applyBorder="1" applyAlignment="1">
      <alignment horizontal="center" vertical="center" wrapText="1"/>
    </xf>
    <xf numFmtId="0" fontId="64" fillId="0" borderId="13" xfId="3" quotePrefix="1" applyFont="1" applyBorder="1" applyAlignment="1">
      <alignment horizontal="center" vertical="center" wrapText="1"/>
    </xf>
    <xf numFmtId="0" fontId="64" fillId="0" borderId="52" xfId="3" quotePrefix="1" applyFont="1" applyBorder="1" applyAlignment="1">
      <alignment horizontal="center" vertical="center" wrapText="1"/>
    </xf>
    <xf numFmtId="0" fontId="64" fillId="0" borderId="62" xfId="3" quotePrefix="1" applyFont="1" applyBorder="1" applyAlignment="1">
      <alignment horizontal="center" vertical="center" wrapText="1"/>
    </xf>
    <xf numFmtId="0" fontId="64" fillId="0" borderId="0" xfId="3" quotePrefix="1" applyFont="1" applyBorder="1" applyAlignment="1">
      <alignment horizontal="center" vertical="center" wrapText="1"/>
    </xf>
    <xf numFmtId="0" fontId="64" fillId="0" borderId="41" xfId="3" quotePrefix="1" applyFont="1" applyBorder="1" applyAlignment="1">
      <alignment horizontal="center" vertical="center" wrapText="1"/>
    </xf>
    <xf numFmtId="0" fontId="61" fillId="0" borderId="0" xfId="0" applyFont="1" applyAlignment="1">
      <alignment horizontal="center"/>
    </xf>
    <xf numFmtId="0" fontId="96" fillId="0" borderId="0" xfId="0" applyFont="1" applyAlignment="1">
      <alignment horizontal="center" vertical="center"/>
    </xf>
    <xf numFmtId="0" fontId="96" fillId="0" borderId="0" xfId="3" applyFont="1" applyAlignment="1">
      <alignment horizontal="center"/>
    </xf>
    <xf numFmtId="0" fontId="35" fillId="0" borderId="0" xfId="3" applyFont="1" applyAlignment="1">
      <alignment horizontal="center"/>
    </xf>
    <xf numFmtId="0" fontId="34" fillId="0" borderId="0" xfId="3" applyFont="1" applyAlignment="1">
      <alignment horizontal="center"/>
    </xf>
    <xf numFmtId="0" fontId="7" fillId="0" borderId="23" xfId="3" applyFont="1" applyBorder="1" applyAlignment="1">
      <alignment horizontal="center" vertical="center" wrapText="1"/>
    </xf>
    <xf numFmtId="0" fontId="7" fillId="0" borderId="2" xfId="3" applyFont="1" applyBorder="1" applyAlignment="1">
      <alignment horizontal="center" vertical="center" wrapText="1"/>
    </xf>
    <xf numFmtId="0" fontId="7" fillId="0" borderId="3" xfId="3" applyFont="1" applyBorder="1" applyAlignment="1">
      <alignment horizontal="center" vertical="top" wrapText="1"/>
    </xf>
    <xf numFmtId="0" fontId="7" fillId="0" borderId="4" xfId="3" applyFont="1" applyBorder="1" applyAlignment="1">
      <alignment horizontal="center" vertical="top" wrapText="1"/>
    </xf>
    <xf numFmtId="0" fontId="11" fillId="0" borderId="0" xfId="4" applyFont="1" applyAlignment="1">
      <alignment horizontal="center" vertical="top" wrapText="1"/>
    </xf>
    <xf numFmtId="0" fontId="7" fillId="0" borderId="3" xfId="4" applyFont="1" applyBorder="1" applyAlignment="1">
      <alignment horizontal="center" vertical="center" wrapText="1"/>
    </xf>
    <xf numFmtId="0" fontId="7" fillId="0" borderId="4" xfId="4" applyFont="1" applyBorder="1" applyAlignment="1">
      <alignment horizontal="center" vertical="center" wrapText="1"/>
    </xf>
    <xf numFmtId="0" fontId="7" fillId="0" borderId="24" xfId="0" applyFont="1" applyBorder="1" applyAlignment="1">
      <alignment horizontal="center" vertical="center" wrapText="1"/>
    </xf>
    <xf numFmtId="0" fontId="95" fillId="0" borderId="0" xfId="4" applyFont="1" applyAlignment="1">
      <alignment horizontal="center"/>
    </xf>
    <xf numFmtId="0" fontId="7" fillId="0" borderId="1" xfId="4" applyFont="1" applyBorder="1" applyAlignment="1">
      <alignment horizontal="center" vertical="center" wrapText="1"/>
    </xf>
    <xf numFmtId="0" fontId="0" fillId="0" borderId="1" xfId="0" applyBorder="1" applyAlignment="1">
      <alignment horizontal="center" vertical="center" wrapText="1"/>
    </xf>
    <xf numFmtId="0" fontId="89" fillId="0" borderId="0" xfId="4" applyFont="1" applyAlignment="1">
      <alignment horizontal="center" wrapText="1"/>
    </xf>
    <xf numFmtId="0" fontId="12" fillId="0" borderId="0" xfId="4" applyAlignment="1">
      <alignment horizontal="center"/>
    </xf>
    <xf numFmtId="0" fontId="7" fillId="0" borderId="23" xfId="4" applyFont="1" applyBorder="1" applyAlignment="1">
      <alignment horizontal="center" vertical="center" wrapText="1"/>
    </xf>
    <xf numFmtId="0" fontId="7" fillId="0" borderId="2" xfId="4" applyFont="1" applyBorder="1" applyAlignment="1">
      <alignment horizontal="center" vertical="center" wrapText="1"/>
    </xf>
    <xf numFmtId="0" fontId="7" fillId="0" borderId="3" xfId="4" applyFont="1" applyBorder="1" applyAlignment="1">
      <alignment horizontal="center" vertical="top"/>
    </xf>
    <xf numFmtId="0" fontId="7" fillId="0" borderId="4" xfId="4" applyFont="1" applyBorder="1" applyAlignment="1">
      <alignment horizontal="center" vertical="top"/>
    </xf>
    <xf numFmtId="0" fontId="7" fillId="0" borderId="1" xfId="4" applyFont="1" applyBorder="1" applyAlignment="1">
      <alignment horizontal="center" vertical="top"/>
    </xf>
    <xf numFmtId="0" fontId="53" fillId="0" borderId="0" xfId="4" applyFont="1" applyAlignment="1">
      <alignment horizontal="left"/>
    </xf>
    <xf numFmtId="0" fontId="52" fillId="0" borderId="0" xfId="4" applyFont="1" applyAlignment="1">
      <alignment horizontal="right" vertical="top" wrapText="1"/>
    </xf>
    <xf numFmtId="0" fontId="89" fillId="0" borderId="0" xfId="4" applyFont="1" applyAlignment="1">
      <alignment horizontal="center"/>
    </xf>
    <xf numFmtId="0" fontId="11" fillId="0" borderId="1" xfId="4" applyFont="1" applyBorder="1" applyAlignment="1">
      <alignment horizontal="center" vertical="center"/>
    </xf>
    <xf numFmtId="0" fontId="11" fillId="0" borderId="0" xfId="5" applyFont="1" applyAlignment="1">
      <alignment horizontal="center"/>
    </xf>
    <xf numFmtId="0" fontId="52" fillId="0" borderId="0" xfId="4" applyFont="1" applyAlignment="1">
      <alignment horizontal="center"/>
    </xf>
    <xf numFmtId="0" fontId="53" fillId="0" borderId="0" xfId="0" applyFont="1" applyAlignment="1">
      <alignment horizontal="left"/>
    </xf>
    <xf numFmtId="0" fontId="7" fillId="0" borderId="0" xfId="4" applyFont="1" applyAlignment="1">
      <alignment horizontal="center" vertical="top" wrapText="1"/>
    </xf>
    <xf numFmtId="0" fontId="98" fillId="0" borderId="0" xfId="4" applyFont="1" applyAlignment="1">
      <alignment horizontal="center"/>
    </xf>
    <xf numFmtId="0" fontId="9" fillId="0" borderId="51" xfId="4" applyFont="1" applyBorder="1" applyAlignment="1">
      <alignment horizontal="center" vertical="center"/>
    </xf>
    <xf numFmtId="0" fontId="9" fillId="0" borderId="13" xfId="4" applyFont="1" applyBorder="1" applyAlignment="1">
      <alignment horizontal="center" vertical="center"/>
    </xf>
    <xf numFmtId="0" fontId="9" fillId="0" borderId="52" xfId="4" applyFont="1" applyBorder="1" applyAlignment="1">
      <alignment horizontal="center" vertical="center"/>
    </xf>
    <xf numFmtId="0" fontId="9" fillId="0" borderId="62" xfId="4" applyFont="1" applyBorder="1" applyAlignment="1">
      <alignment horizontal="center" vertical="center"/>
    </xf>
    <xf numFmtId="0" fontId="9" fillId="0" borderId="0" xfId="4" applyFont="1" applyBorder="1" applyAlignment="1">
      <alignment horizontal="center" vertical="center"/>
    </xf>
    <xf numFmtId="0" fontId="9" fillId="0" borderId="41" xfId="4" applyFont="1" applyBorder="1" applyAlignment="1">
      <alignment horizontal="center" vertical="center"/>
    </xf>
    <xf numFmtId="0" fontId="9" fillId="0" borderId="24" xfId="4" applyFont="1" applyBorder="1" applyAlignment="1">
      <alignment horizontal="center" vertical="center"/>
    </xf>
    <xf numFmtId="0" fontId="9" fillId="0" borderId="6" xfId="4" applyFont="1" applyBorder="1" applyAlignment="1">
      <alignment horizontal="center" vertical="center"/>
    </xf>
    <xf numFmtId="0" fontId="9" fillId="0" borderId="50" xfId="4" applyFont="1" applyBorder="1" applyAlignment="1">
      <alignment horizontal="center" vertical="center"/>
    </xf>
    <xf numFmtId="0" fontId="34" fillId="0" borderId="0" xfId="0" applyFont="1" applyAlignment="1">
      <alignment horizontal="right"/>
    </xf>
    <xf numFmtId="0" fontId="104" fillId="0" borderId="0" xfId="0" applyFont="1" applyAlignment="1">
      <alignment horizontal="center"/>
    </xf>
    <xf numFmtId="0" fontId="42" fillId="0" borderId="51" xfId="0" applyFont="1" applyBorder="1" applyAlignment="1">
      <alignment horizontal="center" vertical="center"/>
    </xf>
    <xf numFmtId="0" fontId="43" fillId="0" borderId="13" xfId="0" applyFont="1" applyBorder="1" applyAlignment="1">
      <alignment horizontal="center" vertical="center"/>
    </xf>
    <xf numFmtId="0" fontId="43" fillId="0" borderId="52" xfId="0" applyFont="1" applyBorder="1" applyAlignment="1">
      <alignment horizontal="center" vertical="center"/>
    </xf>
    <xf numFmtId="0" fontId="43" fillId="0" borderId="62" xfId="0" applyFont="1" applyBorder="1" applyAlignment="1">
      <alignment horizontal="center" vertical="center"/>
    </xf>
    <xf numFmtId="0" fontId="43" fillId="0" borderId="0" xfId="0" applyFont="1" applyBorder="1" applyAlignment="1">
      <alignment horizontal="center" vertical="center"/>
    </xf>
    <xf numFmtId="0" fontId="43" fillId="0" borderId="41" xfId="0" applyFont="1" applyBorder="1" applyAlignment="1">
      <alignment horizontal="center" vertical="center"/>
    </xf>
    <xf numFmtId="0" fontId="43" fillId="0" borderId="24" xfId="0" applyFont="1" applyBorder="1" applyAlignment="1">
      <alignment horizontal="center" vertical="center"/>
    </xf>
    <xf numFmtId="0" fontId="43" fillId="0" borderId="6" xfId="0" applyFont="1" applyBorder="1" applyAlignment="1">
      <alignment horizontal="center" vertical="center"/>
    </xf>
    <xf numFmtId="0" fontId="43" fillId="0" borderId="50" xfId="0" applyFont="1" applyBorder="1" applyAlignment="1">
      <alignment horizontal="center" vertical="center"/>
    </xf>
    <xf numFmtId="0" fontId="41" fillId="0" borderId="51" xfId="0" applyFont="1" applyBorder="1" applyAlignment="1">
      <alignment horizontal="center" vertical="center"/>
    </xf>
    <xf numFmtId="0" fontId="0" fillId="0" borderId="13" xfId="0" applyBorder="1"/>
    <xf numFmtId="0" fontId="0" fillId="0" borderId="52" xfId="0" applyBorder="1"/>
    <xf numFmtId="0" fontId="0" fillId="0" borderId="62" xfId="0" applyBorder="1"/>
    <xf numFmtId="0" fontId="0" fillId="0" borderId="0" xfId="0"/>
    <xf numFmtId="0" fontId="0" fillId="0" borderId="41" xfId="0" applyBorder="1"/>
    <xf numFmtId="0" fontId="0" fillId="0" borderId="24" xfId="0" applyBorder="1"/>
    <xf numFmtId="0" fontId="0" fillId="0" borderId="6" xfId="0" applyBorder="1"/>
    <xf numFmtId="0" fontId="0" fillId="0" borderId="50" xfId="0" applyBorder="1"/>
    <xf numFmtId="0" fontId="7" fillId="0" borderId="0" xfId="2" applyFont="1" applyAlignment="1">
      <alignment horizontal="right"/>
    </xf>
    <xf numFmtId="0" fontId="20" fillId="0" borderId="6" xfId="0" applyFont="1" applyBorder="1" applyAlignment="1">
      <alignment horizontal="center"/>
    </xf>
    <xf numFmtId="0" fontId="37" fillId="0" borderId="25" xfId="0" applyFont="1" applyBorder="1" applyAlignment="1">
      <alignment horizontal="center" vertical="center" wrapText="1"/>
    </xf>
    <xf numFmtId="0" fontId="7" fillId="2" borderId="23" xfId="2" quotePrefix="1" applyFont="1" applyFill="1" applyBorder="1" applyAlignment="1">
      <alignment horizontal="center" vertical="center" wrapText="1"/>
    </xf>
    <xf numFmtId="0" fontId="7" fillId="2" borderId="2" xfId="2" quotePrefix="1" applyFont="1" applyFill="1" applyBorder="1" applyAlignment="1">
      <alignment horizontal="center" vertical="center" wrapText="1"/>
    </xf>
    <xf numFmtId="0" fontId="7" fillId="2" borderId="1" xfId="2" quotePrefix="1" applyFont="1" applyFill="1" applyBorder="1" applyAlignment="1">
      <alignment horizontal="center" vertical="center" wrapText="1"/>
    </xf>
    <xf numFmtId="0" fontId="7" fillId="0" borderId="1" xfId="7379" applyFont="1" applyBorder="1" applyAlignment="1">
      <alignment horizontal="left" vertical="center"/>
    </xf>
    <xf numFmtId="0" fontId="7" fillId="0" borderId="3" xfId="7379" applyFont="1" applyBorder="1" applyAlignment="1">
      <alignment horizontal="left" vertical="center"/>
    </xf>
    <xf numFmtId="0" fontId="7" fillId="0" borderId="7" xfId="7379" applyFont="1" applyBorder="1" applyAlignment="1">
      <alignment horizontal="left" vertical="center"/>
    </xf>
    <xf numFmtId="0" fontId="7" fillId="0" borderId="4" xfId="7379" applyFont="1" applyBorder="1" applyAlignment="1">
      <alignment horizontal="left" vertical="center"/>
    </xf>
    <xf numFmtId="0" fontId="7" fillId="0" borderId="3" xfId="7379" applyFont="1" applyBorder="1" applyAlignment="1">
      <alignment horizontal="center" vertical="center" wrapText="1"/>
    </xf>
    <xf numFmtId="0" fontId="7" fillId="0" borderId="7" xfId="7379" applyFont="1" applyBorder="1" applyAlignment="1">
      <alignment horizontal="center" vertical="center" wrapText="1"/>
    </xf>
    <xf numFmtId="0" fontId="7" fillId="0" borderId="4" xfId="7379" applyFont="1" applyBorder="1" applyAlignment="1">
      <alignment horizontal="center" vertical="center" wrapText="1"/>
    </xf>
    <xf numFmtId="0" fontId="7" fillId="2" borderId="3" xfId="2" applyFont="1" applyFill="1" applyBorder="1" applyAlignment="1">
      <alignment horizontal="center" vertical="center" wrapText="1"/>
    </xf>
    <xf numFmtId="0" fontId="7" fillId="2" borderId="7" xfId="2" quotePrefix="1" applyFont="1" applyFill="1" applyBorder="1" applyAlignment="1">
      <alignment horizontal="center" vertical="center" wrapText="1"/>
    </xf>
    <xf numFmtId="0" fontId="7" fillId="2" borderId="4" xfId="2" quotePrefix="1" applyFont="1" applyFill="1" applyBorder="1" applyAlignment="1">
      <alignment horizontal="center" vertical="center" wrapText="1"/>
    </xf>
    <xf numFmtId="0" fontId="59" fillId="0" borderId="0" xfId="0" applyFont="1" applyAlignment="1">
      <alignment horizontal="right"/>
    </xf>
    <xf numFmtId="0" fontId="105" fillId="0" borderId="0" xfId="0" applyFont="1" applyBorder="1" applyAlignment="1">
      <alignment horizontal="center" vertical="top"/>
    </xf>
    <xf numFmtId="0" fontId="83" fillId="0" borderId="23" xfId="0" applyFont="1" applyBorder="1" applyAlignment="1">
      <alignment horizontal="center" vertical="top" wrapText="1"/>
    </xf>
    <xf numFmtId="0" fontId="83" fillId="0" borderId="25" xfId="0" applyFont="1" applyBorder="1" applyAlignment="1">
      <alignment horizontal="center" vertical="top" wrapText="1"/>
    </xf>
    <xf numFmtId="0" fontId="83" fillId="0" borderId="2" xfId="0" applyFont="1" applyBorder="1" applyAlignment="1">
      <alignment horizontal="center" vertical="top" wrapText="1"/>
    </xf>
    <xf numFmtId="0" fontId="83" fillId="0" borderId="51" xfId="0" applyFont="1" applyBorder="1" applyAlignment="1">
      <alignment horizontal="center" vertical="center" wrapText="1"/>
    </xf>
    <xf numFmtId="0" fontId="83" fillId="0" borderId="13" xfId="0" applyFont="1" applyBorder="1" applyAlignment="1">
      <alignment horizontal="center" vertical="center" wrapText="1"/>
    </xf>
    <xf numFmtId="0" fontId="83" fillId="0" borderId="52" xfId="0" applyFont="1" applyBorder="1" applyAlignment="1">
      <alignment horizontal="center" vertical="center" wrapText="1"/>
    </xf>
    <xf numFmtId="0" fontId="83" fillId="0" borderId="62"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41" xfId="0" applyFont="1" applyBorder="1" applyAlignment="1">
      <alignment horizontal="center" vertical="center" wrapText="1"/>
    </xf>
    <xf numFmtId="0" fontId="105" fillId="0" borderId="0" xfId="0" applyFont="1" applyAlignment="1">
      <alignment horizontal="center" vertical="center"/>
    </xf>
    <xf numFmtId="0" fontId="74" fillId="0" borderId="0" xfId="0" applyFont="1" applyBorder="1" applyAlignment="1">
      <alignment horizontal="center" vertical="center"/>
    </xf>
    <xf numFmtId="0" fontId="75" fillId="0" borderId="3" xfId="0" applyFont="1" applyBorder="1" applyAlignment="1">
      <alignment horizontal="center" vertical="center" wrapText="1"/>
    </xf>
    <xf numFmtId="0" fontId="75" fillId="0" borderId="7" xfId="0" applyFont="1" applyBorder="1" applyAlignment="1">
      <alignment horizontal="center" vertical="center" wrapText="1"/>
    </xf>
    <xf numFmtId="0" fontId="75" fillId="0" borderId="4" xfId="0" applyFont="1" applyBorder="1" applyAlignment="1">
      <alignment horizontal="center" vertical="center" wrapText="1"/>
    </xf>
    <xf numFmtId="0" fontId="63" fillId="0" borderId="0" xfId="0" applyFont="1" applyAlignment="1">
      <alignment horizontal="center" vertical="center" wrapText="1"/>
    </xf>
    <xf numFmtId="0" fontId="17" fillId="0" borderId="0" xfId="0" applyFont="1" applyAlignment="1">
      <alignment horizontal="center" vertical="top" wrapText="1"/>
    </xf>
    <xf numFmtId="0" fontId="20" fillId="0" borderId="25" xfId="0" applyFont="1" applyBorder="1" applyAlignment="1">
      <alignment horizontal="center" vertical="center" wrapText="1"/>
    </xf>
    <xf numFmtId="0" fontId="7" fillId="0" borderId="0" xfId="0" applyFont="1" applyAlignment="1">
      <alignment horizontal="right"/>
    </xf>
    <xf numFmtId="0" fontId="7" fillId="2" borderId="0" xfId="0" applyFont="1" applyFill="1" applyAlignment="1">
      <alignment horizontal="left"/>
    </xf>
    <xf numFmtId="0" fontId="7" fillId="2" borderId="1" xfId="0" applyFont="1" applyFill="1" applyBorder="1" applyAlignment="1">
      <alignment horizontal="center" wrapText="1"/>
    </xf>
    <xf numFmtId="0" fontId="95" fillId="2" borderId="0" xfId="0" applyFont="1" applyFill="1" applyBorder="1" applyAlignment="1">
      <alignment horizontal="center" vertical="center" wrapText="1"/>
    </xf>
    <xf numFmtId="0" fontId="52" fillId="0" borderId="0" xfId="0" applyFont="1" applyBorder="1" applyAlignment="1">
      <alignment horizontal="right"/>
    </xf>
    <xf numFmtId="0" fontId="97" fillId="0" borderId="0" xfId="0" applyFont="1" applyBorder="1" applyAlignment="1">
      <alignment horizontal="center" wrapText="1"/>
    </xf>
    <xf numFmtId="0" fontId="20" fillId="0" borderId="0" xfId="0" applyFont="1" applyAlignment="1">
      <alignment horizontal="right"/>
    </xf>
    <xf numFmtId="0" fontId="7" fillId="0" borderId="6" xfId="0" applyFont="1" applyBorder="1" applyAlignment="1">
      <alignment horizontal="right"/>
    </xf>
    <xf numFmtId="0" fontId="7" fillId="0" borderId="6" xfId="0" applyFont="1" applyBorder="1" applyAlignment="1">
      <alignment horizontal="center" vertical="center" wrapText="1"/>
    </xf>
    <xf numFmtId="0" fontId="7" fillId="0" borderId="50" xfId="0" applyFont="1" applyBorder="1" applyAlignment="1">
      <alignment horizontal="center" vertical="center" wrapText="1"/>
    </xf>
    <xf numFmtId="0" fontId="106" fillId="0" borderId="51" xfId="0" applyFont="1" applyBorder="1" applyAlignment="1">
      <alignment horizontal="center" vertical="center"/>
    </xf>
    <xf numFmtId="0" fontId="106" fillId="0" borderId="13" xfId="0" applyFont="1" applyBorder="1" applyAlignment="1">
      <alignment horizontal="center" vertical="center"/>
    </xf>
    <xf numFmtId="0" fontId="106" fillId="0" borderId="52" xfId="0" applyFont="1" applyBorder="1" applyAlignment="1">
      <alignment horizontal="center" vertical="center"/>
    </xf>
    <xf numFmtId="0" fontId="106" fillId="0" borderId="62" xfId="0" applyFont="1" applyBorder="1" applyAlignment="1">
      <alignment horizontal="center" vertical="center"/>
    </xf>
    <xf numFmtId="0" fontId="106" fillId="0" borderId="0" xfId="0" applyFont="1" applyBorder="1" applyAlignment="1">
      <alignment horizontal="center" vertical="center"/>
    </xf>
    <xf numFmtId="0" fontId="106" fillId="0" borderId="41" xfId="0" applyFont="1" applyBorder="1" applyAlignment="1">
      <alignment horizontal="center" vertical="center"/>
    </xf>
    <xf numFmtId="0" fontId="106" fillId="0" borderId="24" xfId="0" applyFont="1" applyBorder="1" applyAlignment="1">
      <alignment horizontal="center" vertical="center"/>
    </xf>
    <xf numFmtId="0" fontId="106" fillId="0" borderId="6" xfId="0" applyFont="1" applyBorder="1" applyAlignment="1">
      <alignment horizontal="center" vertical="center"/>
    </xf>
    <xf numFmtId="0" fontId="106" fillId="0" borderId="50" xfId="0" applyFont="1" applyBorder="1" applyAlignment="1">
      <alignment horizontal="center" vertical="center"/>
    </xf>
    <xf numFmtId="0" fontId="80" fillId="0" borderId="3" xfId="0" applyFont="1" applyBorder="1" applyAlignment="1">
      <alignment horizontal="center" vertical="center"/>
    </xf>
    <xf numFmtId="0" fontId="80" fillId="0" borderId="7" xfId="0" applyFont="1" applyBorder="1" applyAlignment="1">
      <alignment horizontal="center" vertical="center"/>
    </xf>
    <xf numFmtId="0" fontId="80" fillId="0" borderId="4" xfId="0" applyFont="1" applyBorder="1" applyAlignment="1">
      <alignment horizontal="center" vertical="center"/>
    </xf>
    <xf numFmtId="0" fontId="26" fillId="0" borderId="3" xfId="2" applyFont="1" applyFill="1" applyBorder="1" applyAlignment="1">
      <alignment horizontal="center" vertical="center" wrapText="1"/>
    </xf>
    <xf numFmtId="0" fontId="26" fillId="0" borderId="7" xfId="2" applyFont="1" applyFill="1" applyBorder="1" applyAlignment="1">
      <alignment horizontal="center" vertical="center" wrapText="1"/>
    </xf>
    <xf numFmtId="0" fontId="26" fillId="0" borderId="52" xfId="2" applyFont="1" applyFill="1" applyBorder="1" applyAlignment="1">
      <alignment horizontal="center" vertical="center" wrapText="1"/>
    </xf>
    <xf numFmtId="0" fontId="8" fillId="0" borderId="0" xfId="0" applyFont="1" applyFill="1" applyAlignment="1">
      <alignment horizontal="center"/>
    </xf>
    <xf numFmtId="0" fontId="89" fillId="0" borderId="0" xfId="2" applyFont="1" applyFill="1" applyAlignment="1">
      <alignment horizontal="center"/>
    </xf>
    <xf numFmtId="0" fontId="7" fillId="0" borderId="1" xfId="2" applyFont="1" applyFill="1" applyBorder="1" applyAlignment="1">
      <alignment horizontal="center" vertical="center" wrapText="1"/>
    </xf>
    <xf numFmtId="0" fontId="26" fillId="0" borderId="4" xfId="2" applyFont="1" applyFill="1" applyBorder="1" applyAlignment="1">
      <alignment horizontal="center" vertical="center" wrapText="1"/>
    </xf>
    <xf numFmtId="0" fontId="52" fillId="0" borderId="0" xfId="0" applyFont="1" applyFill="1" applyAlignment="1">
      <alignment horizontal="left"/>
    </xf>
    <xf numFmtId="0" fontId="26" fillId="0" borderId="23" xfId="2" applyFont="1" applyFill="1" applyBorder="1" applyAlignment="1">
      <alignment horizontal="center" vertical="center" wrapText="1"/>
    </xf>
    <xf numFmtId="0" fontId="26" fillId="0" borderId="2" xfId="2" applyFont="1" applyFill="1" applyBorder="1" applyAlignment="1">
      <alignment horizontal="center" vertical="center" wrapText="1"/>
    </xf>
    <xf numFmtId="0" fontId="60" fillId="0" borderId="0" xfId="7378" applyFont="1" applyAlignment="1">
      <alignment horizontal="center" wrapText="1"/>
    </xf>
    <xf numFmtId="0" fontId="11" fillId="0" borderId="1" xfId="0" applyFont="1" applyBorder="1" applyAlignment="1">
      <alignment horizontal="center" vertical="top" wrapText="1"/>
    </xf>
    <xf numFmtId="0" fontId="118" fillId="0" borderId="23" xfId="7378" applyFont="1" applyBorder="1" applyAlignment="1">
      <alignment horizontal="center" vertical="top" wrapText="1"/>
    </xf>
    <xf numFmtId="0" fontId="118" fillId="0" borderId="2" xfId="7378" applyFont="1" applyBorder="1" applyAlignment="1">
      <alignment horizontal="center" vertical="top" wrapText="1"/>
    </xf>
    <xf numFmtId="0" fontId="118" fillId="0" borderId="1" xfId="7378" applyFont="1" applyBorder="1" applyAlignment="1">
      <alignment horizontal="center" vertical="top" wrapText="1"/>
    </xf>
    <xf numFmtId="0" fontId="26" fillId="0" borderId="1" xfId="7378" applyFont="1" applyBorder="1" applyAlignment="1">
      <alignment horizontal="center" vertical="center" wrapText="1"/>
    </xf>
    <xf numFmtId="0" fontId="26" fillId="0" borderId="3" xfId="7378" applyFont="1" applyBorder="1" applyAlignment="1">
      <alignment horizontal="center" vertical="center" wrapText="1"/>
    </xf>
    <xf numFmtId="0" fontId="26" fillId="0" borderId="7" xfId="7378" applyFont="1" applyBorder="1" applyAlignment="1">
      <alignment horizontal="center" vertical="center" wrapText="1"/>
    </xf>
    <xf numFmtId="0" fontId="23" fillId="0" borderId="3" xfId="7378" applyFont="1" applyBorder="1" applyAlignment="1">
      <alignment horizontal="center" vertical="center" wrapText="1"/>
    </xf>
    <xf numFmtId="0" fontId="23" fillId="0" borderId="7" xfId="7378" applyFont="1" applyBorder="1" applyAlignment="1">
      <alignment horizontal="center" vertical="center" wrapText="1"/>
    </xf>
    <xf numFmtId="0" fontId="33" fillId="0" borderId="0" xfId="0" applyFont="1" applyAlignment="1">
      <alignment horizontal="center"/>
    </xf>
    <xf numFmtId="0" fontId="25" fillId="0" borderId="23" xfId="7378" applyFont="1" applyBorder="1" applyAlignment="1">
      <alignment horizontal="center" vertical="center" wrapText="1"/>
    </xf>
    <xf numFmtId="0" fontId="25" fillId="0" borderId="2" xfId="7378" applyFont="1" applyBorder="1" applyAlignment="1">
      <alignment horizontal="center" vertical="center" wrapText="1"/>
    </xf>
    <xf numFmtId="0" fontId="25" fillId="0" borderId="3" xfId="7378" applyFont="1" applyBorder="1" applyAlignment="1">
      <alignment horizontal="center" vertical="center" wrapText="1"/>
    </xf>
    <xf numFmtId="0" fontId="25" fillId="0" borderId="7" xfId="7378" applyFont="1" applyBorder="1" applyAlignment="1">
      <alignment horizontal="center" vertical="center" wrapText="1"/>
    </xf>
    <xf numFmtId="0" fontId="25" fillId="0" borderId="4" xfId="7378" applyFont="1" applyBorder="1" applyAlignment="1">
      <alignment horizontal="center" vertical="center" wrapText="1"/>
    </xf>
    <xf numFmtId="0" fontId="8" fillId="0" borderId="0" xfId="5400" applyFont="1" applyAlignment="1">
      <alignment horizontal="center"/>
    </xf>
    <xf numFmtId="0" fontId="7" fillId="0" borderId="1" xfId="5400" applyFont="1" applyBorder="1" applyAlignment="1">
      <alignment horizontal="center" vertical="center" wrapText="1"/>
    </xf>
    <xf numFmtId="0" fontId="7" fillId="0" borderId="0" xfId="5400" applyFont="1" applyAlignment="1">
      <alignment horizontal="left"/>
    </xf>
    <xf numFmtId="0" fontId="16" fillId="0" borderId="0" xfId="5400" applyFont="1" applyAlignment="1">
      <alignment horizontal="center"/>
    </xf>
    <xf numFmtId="0" fontId="10" fillId="0" borderId="0" xfId="5400" applyFont="1" applyAlignment="1">
      <alignment horizontal="center"/>
    </xf>
    <xf numFmtId="0" fontId="7" fillId="0" borderId="0" xfId="5400" applyFont="1" applyAlignment="1">
      <alignment horizontal="center" vertical="top" wrapText="1"/>
    </xf>
    <xf numFmtId="0" fontId="26" fillId="0" borderId="1" xfId="2" applyFont="1" applyBorder="1" applyAlignment="1">
      <alignment horizontal="center" vertical="center" wrapText="1"/>
    </xf>
    <xf numFmtId="0" fontId="26" fillId="0" borderId="23" xfId="2" applyFont="1" applyBorder="1" applyAlignment="1">
      <alignment horizontal="center" vertical="center" wrapText="1"/>
    </xf>
    <xf numFmtId="0" fontId="26" fillId="0" borderId="25" xfId="2" applyFont="1" applyBorder="1" applyAlignment="1">
      <alignment horizontal="center" vertical="center" wrapText="1"/>
    </xf>
    <xf numFmtId="0" fontId="26" fillId="0" borderId="2" xfId="2" applyFont="1" applyBorder="1" applyAlignment="1">
      <alignment horizontal="center" vertical="center" wrapText="1"/>
    </xf>
    <xf numFmtId="0" fontId="17" fillId="0" borderId="0" xfId="0" applyFont="1" applyAlignment="1">
      <alignment horizontal="justify" vertical="top" wrapText="1"/>
    </xf>
    <xf numFmtId="0" fontId="12" fillId="0" borderId="0" xfId="0" applyFont="1" applyAlignment="1">
      <alignment horizontal="justify" vertical="top" wrapText="1"/>
    </xf>
    <xf numFmtId="0" fontId="0" fillId="0" borderId="0" xfId="0" applyAlignment="1">
      <alignment wrapText="1"/>
    </xf>
    <xf numFmtId="0" fontId="25" fillId="0" borderId="1" xfId="2" applyFont="1" applyBorder="1" applyAlignment="1">
      <alignment horizontal="center" vertical="center" wrapText="1"/>
    </xf>
    <xf numFmtId="0" fontId="25" fillId="0" borderId="23" xfId="2" applyFont="1" applyBorder="1" applyAlignment="1">
      <alignment horizontal="center" vertical="center"/>
    </xf>
    <xf numFmtId="0" fontId="25" fillId="0" borderId="25" xfId="2" applyFont="1" applyBorder="1" applyAlignment="1">
      <alignment horizontal="center" vertical="center"/>
    </xf>
    <xf numFmtId="0" fontId="25" fillId="0" borderId="2" xfId="2" applyFont="1" applyBorder="1" applyAlignment="1">
      <alignment horizontal="center" vertical="center"/>
    </xf>
    <xf numFmtId="0" fontId="7" fillId="0" borderId="3" xfId="5" applyFont="1" applyBorder="1" applyAlignment="1">
      <alignment horizontal="center" vertical="center"/>
    </xf>
    <xf numFmtId="0" fontId="7" fillId="0" borderId="7" xfId="5" applyFont="1" applyBorder="1" applyAlignment="1">
      <alignment horizontal="center" vertical="center"/>
    </xf>
    <xf numFmtId="0" fontId="7" fillId="0" borderId="4" xfId="5" applyFont="1" applyBorder="1" applyAlignment="1">
      <alignment horizontal="center" vertical="center"/>
    </xf>
    <xf numFmtId="0" fontId="7" fillId="0" borderId="3" xfId="5" applyFont="1" applyBorder="1" applyAlignment="1">
      <alignment horizontal="center" vertical="center" wrapText="1"/>
    </xf>
    <xf numFmtId="0" fontId="7" fillId="0" borderId="7" xfId="5" applyFont="1" applyBorder="1" applyAlignment="1">
      <alignment horizontal="center" vertical="center" wrapText="1"/>
    </xf>
    <xf numFmtId="0" fontId="7" fillId="0" borderId="4" xfId="5" applyFont="1" applyBorder="1" applyAlignment="1">
      <alignment horizontal="center" vertical="center" wrapText="1"/>
    </xf>
    <xf numFmtId="0" fontId="21" fillId="0" borderId="0" xfId="5" applyFont="1" applyAlignment="1">
      <alignment horizontal="center"/>
    </xf>
    <xf numFmtId="0" fontId="7" fillId="0" borderId="1" xfId="5" applyFont="1" applyBorder="1" applyAlignment="1">
      <alignment horizontal="center" vertical="center" wrapText="1"/>
    </xf>
    <xf numFmtId="0" fontId="20" fillId="0" borderId="0" xfId="5" applyFont="1" applyAlignment="1">
      <alignment horizontal="center"/>
    </xf>
    <xf numFmtId="0" fontId="89" fillId="0" borderId="0" xfId="5" applyFont="1" applyAlignment="1">
      <alignment horizontal="center"/>
    </xf>
    <xf numFmtId="0" fontId="13" fillId="0" borderId="3" xfId="5" applyFont="1" applyBorder="1" applyAlignment="1">
      <alignment horizontal="center" vertical="center" wrapText="1"/>
    </xf>
    <xf numFmtId="0" fontId="13" fillId="0" borderId="4" xfId="5" applyFont="1" applyBorder="1" applyAlignment="1">
      <alignment horizontal="center" vertical="center" wrapText="1"/>
    </xf>
    <xf numFmtId="0" fontId="12" fillId="0" borderId="0" xfId="5" applyAlignment="1">
      <alignment horizontal="left"/>
    </xf>
    <xf numFmtId="0" fontId="12" fillId="0" borderId="14" xfId="4" applyBorder="1" applyAlignment="1">
      <alignment horizontal="center" vertical="center"/>
    </xf>
    <xf numFmtId="0" fontId="12" fillId="0" borderId="11" xfId="4" applyBorder="1" applyAlignment="1">
      <alignment horizontal="center" vertical="center"/>
    </xf>
    <xf numFmtId="0" fontId="12" fillId="0" borderId="14" xfId="4" applyBorder="1" applyAlignment="1">
      <alignment horizontal="left" vertical="center"/>
    </xf>
    <xf numFmtId="0" fontId="12" fillId="0" borderId="11" xfId="4" applyBorder="1" applyAlignment="1">
      <alignment horizontal="left" vertical="center"/>
    </xf>
    <xf numFmtId="0" fontId="12" fillId="0" borderId="14" xfId="4" applyBorder="1" applyAlignment="1">
      <alignment horizontal="center" vertical="center" wrapText="1"/>
    </xf>
    <xf numFmtId="0" fontId="12" fillId="0" borderId="11" xfId="4" applyBorder="1" applyAlignment="1">
      <alignment horizontal="center" vertical="center" wrapText="1"/>
    </xf>
    <xf numFmtId="0" fontId="12" fillId="0" borderId="14" xfId="4" applyFont="1" applyBorder="1" applyAlignment="1">
      <alignment horizontal="left"/>
    </xf>
    <xf numFmtId="0" fontId="12" fillId="0" borderId="11" xfId="4" applyBorder="1" applyAlignment="1">
      <alignment horizontal="left"/>
    </xf>
    <xf numFmtId="49" fontId="7" fillId="0" borderId="14" xfId="4" applyNumberFormat="1" applyFont="1" applyBorder="1" applyAlignment="1">
      <alignment horizontal="center" vertical="center" wrapText="1"/>
    </xf>
    <xf numFmtId="49" fontId="7" fillId="0" borderId="11" xfId="4" applyNumberFormat="1" applyFont="1" applyBorder="1" applyAlignment="1">
      <alignment horizontal="center" vertical="center" wrapText="1"/>
    </xf>
    <xf numFmtId="0" fontId="12" fillId="0" borderId="12" xfId="4" applyBorder="1" applyAlignment="1">
      <alignment horizontal="center" vertical="center"/>
    </xf>
    <xf numFmtId="0" fontId="12" fillId="0" borderId="14" xfId="4" applyBorder="1" applyAlignment="1">
      <alignment horizontal="left" vertical="center" wrapText="1"/>
    </xf>
    <xf numFmtId="0" fontId="12" fillId="0" borderId="11" xfId="4" applyBorder="1" applyAlignment="1">
      <alignment horizontal="left" vertical="center" wrapText="1"/>
    </xf>
    <xf numFmtId="0" fontId="9" fillId="0" borderId="0" xfId="4" applyFont="1" applyAlignment="1">
      <alignment horizontal="center"/>
    </xf>
    <xf numFmtId="0" fontId="12" fillId="0" borderId="6" xfId="4" applyBorder="1" applyAlignment="1">
      <alignment horizontal="left" vertical="center"/>
    </xf>
    <xf numFmtId="0" fontId="12" fillId="0" borderId="7" xfId="4" applyBorder="1" applyAlignment="1">
      <alignment horizontal="left" vertical="center"/>
    </xf>
    <xf numFmtId="0" fontId="12" fillId="0" borderId="14" xfId="4" applyBorder="1" applyAlignment="1">
      <alignment horizontal="left"/>
    </xf>
    <xf numFmtId="49" fontId="12" fillId="0" borderId="14" xfId="4" applyNumberFormat="1" applyBorder="1" applyAlignment="1">
      <alignment horizontal="center" vertical="center"/>
    </xf>
    <xf numFmtId="49" fontId="12" fillId="0" borderId="11" xfId="4" applyNumberFormat="1" applyBorder="1" applyAlignment="1">
      <alignment horizontal="center" vertical="center"/>
    </xf>
    <xf numFmtId="49" fontId="12" fillId="0" borderId="14" xfId="4" applyNumberFormat="1" applyFont="1" applyBorder="1" applyAlignment="1">
      <alignment horizontal="center" vertical="center" wrapText="1"/>
    </xf>
    <xf numFmtId="49" fontId="12" fillId="0" borderId="11" xfId="4" applyNumberFormat="1" applyFont="1" applyBorder="1" applyAlignment="1">
      <alignment horizontal="center" vertical="center" wrapText="1"/>
    </xf>
    <xf numFmtId="0" fontId="7" fillId="0" borderId="0" xfId="4" applyFont="1" applyAlignment="1">
      <alignment horizontal="center"/>
    </xf>
    <xf numFmtId="0" fontId="17" fillId="0" borderId="0" xfId="4" applyFont="1" applyAlignment="1">
      <alignment horizontal="center"/>
    </xf>
    <xf numFmtId="0" fontId="16" fillId="0" borderId="0" xfId="4" applyFont="1" applyAlignment="1">
      <alignment horizontal="center"/>
    </xf>
    <xf numFmtId="0" fontId="10" fillId="0" borderId="0" xfId="4" applyFont="1" applyAlignment="1">
      <alignment horizontal="center" wrapText="1"/>
    </xf>
    <xf numFmtId="0" fontId="7" fillId="0" borderId="0" xfId="4" applyFont="1" applyAlignment="1">
      <alignment horizontal="left"/>
    </xf>
    <xf numFmtId="0" fontId="12" fillId="0" borderId="0" xfId="4" applyFont="1"/>
    <xf numFmtId="0" fontId="7" fillId="0" borderId="1" xfId="4" applyFont="1" applyBorder="1" applyAlignment="1">
      <alignment horizontal="center" vertical="center"/>
    </xf>
    <xf numFmtId="0" fontId="7" fillId="0" borderId="0" xfId="4" applyFont="1" applyAlignment="1">
      <alignment horizontal="right" vertical="top" wrapText="1"/>
    </xf>
    <xf numFmtId="0" fontId="7" fillId="0" borderId="6" xfId="4" applyFont="1" applyBorder="1" applyAlignment="1">
      <alignment horizontal="center"/>
    </xf>
    <xf numFmtId="0" fontId="12" fillId="0" borderId="14" xfId="12" applyFont="1" applyBorder="1" applyAlignment="1">
      <alignment horizontal="center" vertical="center"/>
    </xf>
    <xf numFmtId="0" fontId="12" fillId="0" borderId="11" xfId="12" applyFont="1" applyBorder="1" applyAlignment="1">
      <alignment horizontal="center" vertical="center"/>
    </xf>
    <xf numFmtId="0" fontId="12" fillId="0" borderId="13" xfId="12" applyFont="1" applyBorder="1" applyAlignment="1">
      <alignment horizontal="center" vertical="center"/>
    </xf>
    <xf numFmtId="0" fontId="12" fillId="0" borderId="6" xfId="12" applyFont="1" applyBorder="1" applyAlignment="1">
      <alignment horizontal="center" vertical="center"/>
    </xf>
    <xf numFmtId="0" fontId="12" fillId="0" borderId="12" xfId="12" applyFont="1" applyBorder="1" applyAlignment="1">
      <alignment horizontal="center" vertical="center" wrapText="1"/>
    </xf>
    <xf numFmtId="0" fontId="7" fillId="0" borderId="0" xfId="12" applyFont="1" applyAlignment="1">
      <alignment horizontal="left"/>
    </xf>
    <xf numFmtId="0" fontId="12" fillId="0" borderId="14" xfId="12" applyFont="1" applyFill="1" applyBorder="1" applyAlignment="1">
      <alignment horizontal="center" vertical="center"/>
    </xf>
    <xf numFmtId="0" fontId="12" fillId="0" borderId="11" xfId="12" applyFont="1" applyFill="1" applyBorder="1" applyAlignment="1">
      <alignment horizontal="center" vertical="center"/>
    </xf>
    <xf numFmtId="0" fontId="12" fillId="0" borderId="13" xfId="12" applyFont="1" applyFill="1" applyBorder="1" applyAlignment="1">
      <alignment horizontal="center" vertical="center"/>
    </xf>
    <xf numFmtId="0" fontId="12" fillId="0" borderId="6" xfId="12" applyFont="1" applyFill="1" applyBorder="1" applyAlignment="1">
      <alignment horizontal="center" vertical="center"/>
    </xf>
    <xf numFmtId="0" fontId="12" fillId="0" borderId="13" xfId="12" applyFill="1" applyBorder="1" applyAlignment="1">
      <alignment horizontal="center" vertical="center"/>
    </xf>
    <xf numFmtId="0" fontId="12" fillId="0" borderId="6" xfId="12" applyFill="1" applyBorder="1" applyAlignment="1">
      <alignment horizontal="center" vertical="center"/>
    </xf>
    <xf numFmtId="0" fontId="12" fillId="0" borderId="14" xfId="12" applyFont="1" applyBorder="1" applyAlignment="1">
      <alignment horizontal="center" vertical="center" wrapText="1"/>
    </xf>
    <xf numFmtId="0" fontId="12" fillId="0" borderId="11" xfId="12" applyFont="1" applyBorder="1" applyAlignment="1">
      <alignment horizontal="center" vertical="center" wrapText="1"/>
    </xf>
    <xf numFmtId="0" fontId="12" fillId="0" borderId="12" xfId="12" applyFont="1" applyBorder="1" applyAlignment="1">
      <alignment horizontal="center" vertical="center"/>
    </xf>
    <xf numFmtId="0" fontId="107" fillId="0" borderId="0" xfId="12" applyFont="1" applyAlignment="1">
      <alignment horizontal="center"/>
    </xf>
    <xf numFmtId="0" fontId="12" fillId="0" borderId="39" xfId="12" applyFont="1" applyBorder="1" applyAlignment="1">
      <alignment horizontal="center" vertical="center"/>
    </xf>
    <xf numFmtId="0" fontId="12" fillId="0" borderId="72" xfId="12" applyFont="1" applyBorder="1" applyAlignment="1">
      <alignment horizontal="center" vertical="center"/>
    </xf>
    <xf numFmtId="0" fontId="12" fillId="0" borderId="7" xfId="12" applyFont="1" applyBorder="1" applyAlignment="1">
      <alignment horizontal="center" vertical="center"/>
    </xf>
    <xf numFmtId="0" fontId="12" fillId="0" borderId="11" xfId="13" applyBorder="1"/>
    <xf numFmtId="165" fontId="12" fillId="0" borderId="69" xfId="12" applyNumberFormat="1" applyFont="1" applyBorder="1" applyAlignment="1">
      <alignment horizontal="center" vertical="center"/>
    </xf>
    <xf numFmtId="165" fontId="12" fillId="0" borderId="70" xfId="12" applyNumberFormat="1" applyFont="1" applyBorder="1" applyAlignment="1">
      <alignment horizontal="center" vertical="center"/>
    </xf>
    <xf numFmtId="165" fontId="12" fillId="0" borderId="13" xfId="12" applyNumberFormat="1" applyFont="1" applyBorder="1" applyAlignment="1">
      <alignment horizontal="center" vertical="center"/>
    </xf>
    <xf numFmtId="165" fontId="12" fillId="0" borderId="6" xfId="12" applyNumberFormat="1" applyFont="1" applyBorder="1" applyAlignment="1">
      <alignment horizontal="center" vertical="center"/>
    </xf>
    <xf numFmtId="165" fontId="12" fillId="0" borderId="14" xfId="12" applyNumberFormat="1" applyFont="1" applyBorder="1" applyAlignment="1">
      <alignment horizontal="center" vertical="center"/>
    </xf>
    <xf numFmtId="165" fontId="12" fillId="0" borderId="11" xfId="12" applyNumberFormat="1" applyFont="1" applyBorder="1" applyAlignment="1">
      <alignment horizontal="center" vertical="center"/>
    </xf>
    <xf numFmtId="49" fontId="12" fillId="0" borderId="14" xfId="12" applyNumberFormat="1" applyFont="1" applyBorder="1" applyAlignment="1">
      <alignment horizontal="center" vertical="center" wrapText="1"/>
    </xf>
    <xf numFmtId="49" fontId="12" fillId="0" borderId="11" xfId="12" applyNumberFormat="1" applyFont="1" applyBorder="1" applyAlignment="1">
      <alignment horizontal="center" vertical="center" wrapText="1"/>
    </xf>
    <xf numFmtId="0" fontId="12" fillId="0" borderId="13" xfId="12" applyFont="1" applyBorder="1" applyAlignment="1">
      <alignment horizontal="center" vertical="center" wrapText="1"/>
    </xf>
    <xf numFmtId="0" fontId="12" fillId="0" borderId="6" xfId="12" applyFont="1" applyBorder="1" applyAlignment="1">
      <alignment horizontal="center" vertical="center" wrapText="1"/>
    </xf>
    <xf numFmtId="0" fontId="12" fillId="0" borderId="20" xfId="4" applyFont="1" applyBorder="1" applyAlignment="1">
      <alignment horizontal="center" vertical="center"/>
    </xf>
    <xf numFmtId="0" fontId="12" fillId="0" borderId="12" xfId="4" applyFont="1" applyFill="1" applyBorder="1" applyAlignment="1">
      <alignment horizontal="center" vertical="center"/>
    </xf>
    <xf numFmtId="0" fontId="11" fillId="0" borderId="26" xfId="4" applyFont="1" applyBorder="1" applyAlignment="1">
      <alignment horizontal="left" vertical="center"/>
    </xf>
    <xf numFmtId="49" fontId="12" fillId="0" borderId="12" xfId="4" applyNumberFormat="1" applyFont="1" applyFill="1" applyBorder="1" applyAlignment="1">
      <alignment horizontal="center" vertical="center" wrapText="1"/>
    </xf>
    <xf numFmtId="49" fontId="12" fillId="0" borderId="42" xfId="4" applyNumberFormat="1" applyFont="1" applyFill="1" applyBorder="1" applyAlignment="1">
      <alignment horizontal="center" vertical="center" wrapText="1"/>
    </xf>
    <xf numFmtId="0" fontId="12" fillId="0" borderId="20" xfId="4" applyFont="1" applyFill="1" applyBorder="1" applyAlignment="1">
      <alignment horizontal="center" vertical="center"/>
    </xf>
    <xf numFmtId="0" fontId="12" fillId="0" borderId="12" xfId="4" applyFill="1" applyBorder="1" applyAlignment="1">
      <alignment horizontal="center" vertical="center"/>
    </xf>
    <xf numFmtId="0" fontId="12" fillId="0" borderId="30" xfId="4" applyFont="1" applyFill="1" applyBorder="1" applyAlignment="1">
      <alignment horizontal="center" vertical="center" wrapText="1"/>
    </xf>
    <xf numFmtId="0" fontId="12" fillId="0" borderId="12" xfId="4" applyFont="1" applyFill="1" applyBorder="1" applyAlignment="1">
      <alignment horizontal="center" vertical="center" wrapText="1"/>
    </xf>
    <xf numFmtId="49" fontId="12" fillId="0" borderId="30" xfId="4" applyNumberFormat="1" applyFont="1" applyFill="1" applyBorder="1" applyAlignment="1">
      <alignment horizontal="center" vertical="center" wrapText="1"/>
    </xf>
    <xf numFmtId="0" fontId="97" fillId="0" borderId="0" xfId="4" applyFont="1" applyAlignment="1">
      <alignment horizontal="center"/>
    </xf>
    <xf numFmtId="0" fontId="107" fillId="0" borderId="0" xfId="4" applyFont="1" applyAlignment="1">
      <alignment horizontal="center"/>
    </xf>
    <xf numFmtId="0" fontId="11" fillId="0" borderId="53" xfId="4" applyFont="1" applyBorder="1" applyAlignment="1">
      <alignment horizontal="left" vertical="center"/>
    </xf>
    <xf numFmtId="0" fontId="11" fillId="0" borderId="54" xfId="4" applyFont="1" applyBorder="1" applyAlignment="1">
      <alignment horizontal="left" vertical="center"/>
    </xf>
    <xf numFmtId="0" fontId="11" fillId="0" borderId="55" xfId="4" applyFont="1" applyBorder="1" applyAlignment="1">
      <alignment horizontal="left" vertical="center"/>
    </xf>
    <xf numFmtId="0" fontId="12" fillId="0" borderId="40" xfId="4" applyFont="1" applyBorder="1" applyAlignment="1">
      <alignment horizontal="center" vertical="center"/>
    </xf>
    <xf numFmtId="0" fontId="12" fillId="0" borderId="39" xfId="4" applyFont="1" applyFill="1" applyBorder="1" applyAlignment="1">
      <alignment horizontal="center" vertical="center"/>
    </xf>
    <xf numFmtId="0" fontId="1" fillId="0" borderId="0" xfId="2" applyFont="1" applyFill="1"/>
    <xf numFmtId="0" fontId="1" fillId="0" borderId="0" xfId="2" applyFont="1" applyFill="1" applyAlignment="1">
      <alignment horizontal="left"/>
    </xf>
    <xf numFmtId="0" fontId="1" fillId="0" borderId="6" xfId="2" applyFont="1" applyFill="1" applyBorder="1" applyAlignment="1">
      <alignment horizontal="center"/>
    </xf>
    <xf numFmtId="0" fontId="1" fillId="3" borderId="0" xfId="2" applyFont="1" applyFill="1"/>
    <xf numFmtId="0" fontId="8" fillId="0" borderId="0" xfId="13" applyFont="1" applyFill="1" applyAlignment="1">
      <alignment horizontal="right"/>
    </xf>
    <xf numFmtId="0" fontId="9" fillId="0" borderId="0" xfId="13" applyFont="1" applyFill="1" applyAlignment="1">
      <alignment horizontal="center"/>
    </xf>
    <xf numFmtId="0" fontId="95" fillId="0" borderId="0" xfId="6471" applyFont="1" applyFill="1" applyAlignment="1">
      <alignment horizontal="center"/>
    </xf>
    <xf numFmtId="0" fontId="52" fillId="0" borderId="0" xfId="13" applyFont="1" applyFill="1" applyAlignment="1">
      <alignment horizontal="left"/>
    </xf>
    <xf numFmtId="0" fontId="6" fillId="0" borderId="6" xfId="6471" applyFill="1" applyBorder="1" applyAlignment="1">
      <alignment horizontal="center"/>
    </xf>
    <xf numFmtId="0" fontId="27" fillId="0" borderId="0" xfId="6471" applyFont="1" applyFill="1"/>
    <xf numFmtId="0" fontId="20" fillId="0" borderId="1" xfId="13" applyFont="1" applyFill="1" applyBorder="1" applyAlignment="1">
      <alignment horizontal="center" vertical="top" wrapText="1"/>
    </xf>
    <xf numFmtId="0" fontId="25" fillId="0" borderId="1" xfId="6471" applyFont="1" applyFill="1" applyBorder="1" applyAlignment="1">
      <alignment horizontal="center" vertical="center" wrapText="1"/>
    </xf>
    <xf numFmtId="0" fontId="23" fillId="0" borderId="1" xfId="6471" applyFont="1" applyFill="1" applyBorder="1" applyAlignment="1">
      <alignment horizontal="center" vertical="center" wrapText="1"/>
    </xf>
    <xf numFmtId="0" fontId="25" fillId="0" borderId="1" xfId="6471" applyFont="1" applyFill="1" applyBorder="1" applyAlignment="1">
      <alignment horizontal="center" vertical="center" wrapText="1"/>
    </xf>
    <xf numFmtId="0" fontId="23" fillId="0" borderId="1" xfId="6471" applyFont="1" applyFill="1" applyBorder="1" applyAlignment="1">
      <alignment horizontal="center" vertical="center" wrapText="1"/>
    </xf>
    <xf numFmtId="0" fontId="20" fillId="0" borderId="1" xfId="13" applyFont="1" applyFill="1" applyBorder="1" applyAlignment="1">
      <alignment horizontal="center" vertical="top" wrapText="1"/>
    </xf>
    <xf numFmtId="0" fontId="25" fillId="0" borderId="1" xfId="6471" applyFont="1" applyFill="1" applyBorder="1" applyAlignment="1">
      <alignment horizontal="center" vertical="center"/>
    </xf>
    <xf numFmtId="1" fontId="47" fillId="0" borderId="1" xfId="6471" applyNumberFormat="1" applyFont="1" applyFill="1" applyBorder="1" applyAlignment="1">
      <alignment horizontal="center" vertical="center" wrapText="1"/>
    </xf>
    <xf numFmtId="2" fontId="47" fillId="0" borderId="1" xfId="6471" applyNumberFormat="1" applyFont="1" applyFill="1" applyBorder="1" applyAlignment="1">
      <alignment horizontal="center" vertical="center" wrapText="1"/>
    </xf>
    <xf numFmtId="49" fontId="60" fillId="0" borderId="1" xfId="6471" applyNumberFormat="1" applyFont="1" applyFill="1" applyBorder="1" applyAlignment="1">
      <alignment horizontal="center" vertical="center" wrapText="1"/>
    </xf>
    <xf numFmtId="2" fontId="60" fillId="0" borderId="1" xfId="6471" applyNumberFormat="1" applyFont="1" applyFill="1" applyBorder="1" applyAlignment="1">
      <alignment horizontal="center" vertical="center" wrapText="1"/>
    </xf>
    <xf numFmtId="0" fontId="7" fillId="0" borderId="0" xfId="13" applyFont="1" applyFill="1"/>
    <xf numFmtId="0" fontId="7" fillId="0" borderId="0" xfId="13" applyFont="1" applyFill="1" applyAlignment="1">
      <alignment horizontal="right"/>
    </xf>
    <xf numFmtId="0" fontId="7" fillId="0" borderId="0" xfId="13" applyFont="1" applyFill="1" applyAlignment="1">
      <alignment horizontal="left"/>
    </xf>
    <xf numFmtId="0" fontId="20" fillId="0" borderId="0" xfId="13" applyFont="1" applyFill="1"/>
    <xf numFmtId="0" fontId="18" fillId="0" borderId="0" xfId="13" applyFont="1" applyFill="1"/>
    <xf numFmtId="0" fontId="20" fillId="0" borderId="0" xfId="13" applyFont="1" applyFill="1" applyAlignment="1">
      <alignment horizontal="center" vertical="top" wrapText="1"/>
    </xf>
    <xf numFmtId="0" fontId="20" fillId="0" borderId="0" xfId="13" applyFont="1" applyFill="1" applyAlignment="1"/>
    <xf numFmtId="0" fontId="1" fillId="0" borderId="0" xfId="6471" applyFont="1" applyFill="1"/>
    <xf numFmtId="49" fontId="1" fillId="0" borderId="0" xfId="6471" applyNumberFormat="1" applyFont="1" applyFill="1"/>
  </cellXfs>
  <cellStyles count="7381">
    <cellStyle name="Hyperlink" xfId="1" builtinId="8"/>
    <cellStyle name="Normal" xfId="0" builtinId="0"/>
    <cellStyle name="Normal 10" xfId="14"/>
    <cellStyle name="Normal 11" xfId="15"/>
    <cellStyle name="Normal 11 2" xfId="16"/>
    <cellStyle name="Normal 11 2 2" xfId="17"/>
    <cellStyle name="Normal 11 2 2 2" xfId="18"/>
    <cellStyle name="Normal 11 2 2 2 2" xfId="19"/>
    <cellStyle name="Normal 11 2 3" xfId="20"/>
    <cellStyle name="Normal 12" xfId="21"/>
    <cellStyle name="Normal 12 2" xfId="22"/>
    <cellStyle name="Normal 12 2 2" xfId="23"/>
    <cellStyle name="Normal 13" xfId="24"/>
    <cellStyle name="Normal 14" xfId="25"/>
    <cellStyle name="Normal 15" xfId="26"/>
    <cellStyle name="Normal 16" xfId="27"/>
    <cellStyle name="Normal 17" xfId="13"/>
    <cellStyle name="Normal 17 10" xfId="28"/>
    <cellStyle name="Normal 17 11" xfId="29"/>
    <cellStyle name="Normal 17 12" xfId="30"/>
    <cellStyle name="Normal 17 13" xfId="31"/>
    <cellStyle name="Normal 17 14" xfId="32"/>
    <cellStyle name="Normal 17 15" xfId="33"/>
    <cellStyle name="Normal 17 2" xfId="34"/>
    <cellStyle name="Normal 17 3" xfId="35"/>
    <cellStyle name="Normal 17 4" xfId="36"/>
    <cellStyle name="Normal 17 5" xfId="37"/>
    <cellStyle name="Normal 17 6" xfId="38"/>
    <cellStyle name="Normal 17 7" xfId="39"/>
    <cellStyle name="Normal 17 8" xfId="40"/>
    <cellStyle name="Normal 17 9" xfId="41"/>
    <cellStyle name="Normal 18" xfId="42"/>
    <cellStyle name="Normal 18 2" xfId="43"/>
    <cellStyle name="Normal 19" xfId="44"/>
    <cellStyle name="Normal 2" xfId="2"/>
    <cellStyle name="Normal 2 10" xfId="45"/>
    <cellStyle name="Normal 2 10 2" xfId="46"/>
    <cellStyle name="Normal 2 11" xfId="47"/>
    <cellStyle name="Normal 2 12" xfId="48"/>
    <cellStyle name="Normal 2 13" xfId="49"/>
    <cellStyle name="Normal 2 14" xfId="50"/>
    <cellStyle name="Normal 2 15" xfId="51"/>
    <cellStyle name="Normal 2 16" xfId="52"/>
    <cellStyle name="Normal 2 17" xfId="53"/>
    <cellStyle name="Normal 2 18" xfId="54"/>
    <cellStyle name="Normal 2 19" xfId="55"/>
    <cellStyle name="Normal 2 2" xfId="56"/>
    <cellStyle name="Normal 2 2 10" xfId="57"/>
    <cellStyle name="Normal 2 2 11" xfId="58"/>
    <cellStyle name="Normal 2 2 12" xfId="59"/>
    <cellStyle name="Normal 2 2 13" xfId="60"/>
    <cellStyle name="Normal 2 2 14" xfId="61"/>
    <cellStyle name="Normal 2 2 15" xfId="62"/>
    <cellStyle name="Normal 2 2 16" xfId="63"/>
    <cellStyle name="Normal 2 2 17" xfId="64"/>
    <cellStyle name="Normal 2 2 18" xfId="65"/>
    <cellStyle name="Normal 2 2 18 2" xfId="66"/>
    <cellStyle name="Normal 2 2 19" xfId="67"/>
    <cellStyle name="Normal 2 2 2" xfId="68"/>
    <cellStyle name="Normal 2 2 2 10" xfId="69"/>
    <cellStyle name="Normal 2 2 2 11" xfId="70"/>
    <cellStyle name="Normal 2 2 2 12" xfId="71"/>
    <cellStyle name="Normal 2 2 2 13" xfId="72"/>
    <cellStyle name="Normal 2 2 2 14" xfId="73"/>
    <cellStyle name="Normal 2 2 2 15" xfId="74"/>
    <cellStyle name="Normal 2 2 2 16" xfId="75"/>
    <cellStyle name="Normal 2 2 2 17" xfId="76"/>
    <cellStyle name="Normal 2 2 2 17 2" xfId="77"/>
    <cellStyle name="Normal 2 2 2 18" xfId="78"/>
    <cellStyle name="Normal 2 2 2 19" xfId="79"/>
    <cellStyle name="Normal 2 2 2 2" xfId="80"/>
    <cellStyle name="Normal 2 2 2 2 10" xfId="81"/>
    <cellStyle name="Normal 2 2 2 2 11" xfId="82"/>
    <cellStyle name="Normal 2 2 2 2 12" xfId="83"/>
    <cellStyle name="Normal 2 2 2 2 13" xfId="84"/>
    <cellStyle name="Normal 2 2 2 2 14" xfId="85"/>
    <cellStyle name="Normal 2 2 2 2 15" xfId="86"/>
    <cellStyle name="Normal 2 2 2 2 16" xfId="87"/>
    <cellStyle name="Normal 2 2 2 2 17" xfId="88"/>
    <cellStyle name="Normal 2 2 2 2 17 2" xfId="89"/>
    <cellStyle name="Normal 2 2 2 2 18" xfId="90"/>
    <cellStyle name="Normal 2 2 2 2 19" xfId="91"/>
    <cellStyle name="Normal 2 2 2 2 2" xfId="92"/>
    <cellStyle name="Normal 2 2 2 2 2 10" xfId="93"/>
    <cellStyle name="Normal 2 2 2 2 2 11" xfId="94"/>
    <cellStyle name="Normal 2 2 2 2 2 12" xfId="95"/>
    <cellStyle name="Normal 2 2 2 2 2 13" xfId="96"/>
    <cellStyle name="Normal 2 2 2 2 2 14" xfId="97"/>
    <cellStyle name="Normal 2 2 2 2 2 15" xfId="98"/>
    <cellStyle name="Normal 2 2 2 2 2 15 2" xfId="99"/>
    <cellStyle name="Normal 2 2 2 2 2 16" xfId="100"/>
    <cellStyle name="Normal 2 2 2 2 2 17" xfId="101"/>
    <cellStyle name="Normal 2 2 2 2 2 18" xfId="102"/>
    <cellStyle name="Normal 2 2 2 2 2 19" xfId="103"/>
    <cellStyle name="Normal 2 2 2 2 2 2" xfId="104"/>
    <cellStyle name="Normal 2 2 2 2 2 2 10" xfId="105"/>
    <cellStyle name="Normal 2 2 2 2 2 2 11" xfId="106"/>
    <cellStyle name="Normal 2 2 2 2 2 2 12" xfId="107"/>
    <cellStyle name="Normal 2 2 2 2 2 2 13" xfId="108"/>
    <cellStyle name="Normal 2 2 2 2 2 2 14" xfId="109"/>
    <cellStyle name="Normal 2 2 2 2 2 2 15" xfId="110"/>
    <cellStyle name="Normal 2 2 2 2 2 2 15 2" xfId="111"/>
    <cellStyle name="Normal 2 2 2 2 2 2 16" xfId="112"/>
    <cellStyle name="Normal 2 2 2 2 2 2 17" xfId="113"/>
    <cellStyle name="Normal 2 2 2 2 2 2 18" xfId="114"/>
    <cellStyle name="Normal 2 2 2 2 2 2 19" xfId="115"/>
    <cellStyle name="Normal 2 2 2 2 2 2 2" xfId="116"/>
    <cellStyle name="Normal 2 2 2 2 2 2 2 10" xfId="117"/>
    <cellStyle name="Normal 2 2 2 2 2 2 2 11" xfId="118"/>
    <cellStyle name="Normal 2 2 2 2 2 2 2 12" xfId="119"/>
    <cellStyle name="Normal 2 2 2 2 2 2 2 13" xfId="120"/>
    <cellStyle name="Normal 2 2 2 2 2 2 2 14" xfId="121"/>
    <cellStyle name="Normal 2 2 2 2 2 2 2 15" xfId="122"/>
    <cellStyle name="Normal 2 2 2 2 2 2 2 15 2" xfId="123"/>
    <cellStyle name="Normal 2 2 2 2 2 2 2 16" xfId="124"/>
    <cellStyle name="Normal 2 2 2 2 2 2 2 17" xfId="125"/>
    <cellStyle name="Normal 2 2 2 2 2 2 2 18" xfId="126"/>
    <cellStyle name="Normal 2 2 2 2 2 2 2 19" xfId="127"/>
    <cellStyle name="Normal 2 2 2 2 2 2 2 2" xfId="128"/>
    <cellStyle name="Normal 2 2 2 2 2 2 2 20" xfId="129"/>
    <cellStyle name="Normal 2 2 2 2 2 2 2 21" xfId="130"/>
    <cellStyle name="Normal 2 2 2 2 2 2 2 22" xfId="131"/>
    <cellStyle name="Normal 2 2 2 2 2 2 2 23" xfId="132"/>
    <cellStyle name="Normal 2 2 2 2 2 2 2 23 10" xfId="133"/>
    <cellStyle name="Normal 2 2 2 2 2 2 2 23 11" xfId="134"/>
    <cellStyle name="Normal 2 2 2 2 2 2 2 23 12" xfId="135"/>
    <cellStyle name="Normal 2 2 2 2 2 2 2 23 13" xfId="136"/>
    <cellStyle name="Normal 2 2 2 2 2 2 2 23 14" xfId="137"/>
    <cellStyle name="Normal 2 2 2 2 2 2 2 23 15" xfId="138"/>
    <cellStyle name="Normal 2 2 2 2 2 2 2 23 2" xfId="139"/>
    <cellStyle name="Normal 2 2 2 2 2 2 2 23 2 10" xfId="140"/>
    <cellStyle name="Normal 2 2 2 2 2 2 2 23 2 11" xfId="141"/>
    <cellStyle name="Normal 2 2 2 2 2 2 2 23 2 12" xfId="142"/>
    <cellStyle name="Normal 2 2 2 2 2 2 2 23 2 13" xfId="143"/>
    <cellStyle name="Normal 2 2 2 2 2 2 2 23 2 14" xfId="144"/>
    <cellStyle name="Normal 2 2 2 2 2 2 2 23 2 2" xfId="145"/>
    <cellStyle name="Normal 2 2 2 2 2 2 2 23 2 2 10" xfId="146"/>
    <cellStyle name="Normal 2 2 2 2 2 2 2 23 2 2 11" xfId="147"/>
    <cellStyle name="Normal 2 2 2 2 2 2 2 23 2 2 12" xfId="148"/>
    <cellStyle name="Normal 2 2 2 2 2 2 2 23 2 2 13" xfId="149"/>
    <cellStyle name="Normal 2 2 2 2 2 2 2 23 2 2 14" xfId="150"/>
    <cellStyle name="Normal 2 2 2 2 2 2 2 23 2 2 2" xfId="151"/>
    <cellStyle name="Normal 2 2 2 2 2 2 2 23 2 2 2 10" xfId="152"/>
    <cellStyle name="Normal 2 2 2 2 2 2 2 23 2 2 2 11" xfId="153"/>
    <cellStyle name="Normal 2 2 2 2 2 2 2 23 2 2 2 12" xfId="154"/>
    <cellStyle name="Normal 2 2 2 2 2 2 2 23 2 2 2 13" xfId="155"/>
    <cellStyle name="Normal 2 2 2 2 2 2 2 23 2 2 2 2" xfId="156"/>
    <cellStyle name="Normal 2 2 2 2 2 2 2 23 2 2 2 2 10" xfId="157"/>
    <cellStyle name="Normal 2 2 2 2 2 2 2 23 2 2 2 2 11" xfId="158"/>
    <cellStyle name="Normal 2 2 2 2 2 2 2 23 2 2 2 2 12" xfId="159"/>
    <cellStyle name="Normal 2 2 2 2 2 2 2 23 2 2 2 2 13" xfId="160"/>
    <cellStyle name="Normal 2 2 2 2 2 2 2 23 2 2 2 2 2" xfId="161"/>
    <cellStyle name="Normal 2 2 2 2 2 2 2 23 2 2 2 2 2 10" xfId="162"/>
    <cellStyle name="Normal 2 2 2 2 2 2 2 23 2 2 2 2 2 11" xfId="163"/>
    <cellStyle name="Normal 2 2 2 2 2 2 2 23 2 2 2 2 2 12" xfId="164"/>
    <cellStyle name="Normal 2 2 2 2 2 2 2 23 2 2 2 2 2 2" xfId="165"/>
    <cellStyle name="Normal 2 2 2 2 2 2 2 23 2 2 2 2 2 2 10" xfId="166"/>
    <cellStyle name="Normal 2 2 2 2 2 2 2 23 2 2 2 2 2 2 11" xfId="167"/>
    <cellStyle name="Normal 2 2 2 2 2 2 2 23 2 2 2 2 2 2 12" xfId="168"/>
    <cellStyle name="Normal 2 2 2 2 2 2 2 23 2 2 2 2 2 2 2" xfId="169"/>
    <cellStyle name="Normal 2 2 2 2 2 2 2 23 2 2 2 2 2 2 2 10" xfId="170"/>
    <cellStyle name="Normal 2 2 2 2 2 2 2 23 2 2 2 2 2 2 2 11" xfId="171"/>
    <cellStyle name="Normal 2 2 2 2 2 2 2 23 2 2 2 2 2 2 2 2" xfId="172"/>
    <cellStyle name="Normal 2 2 2 2 2 2 2 23 2 2 2 2 2 2 2 2 10" xfId="173"/>
    <cellStyle name="Normal 2 2 2 2 2 2 2 23 2 2 2 2 2 2 2 2 11" xfId="174"/>
    <cellStyle name="Normal 2 2 2 2 2 2 2 23 2 2 2 2 2 2 2 2 2" xfId="175"/>
    <cellStyle name="Normal 2 2 2 2 2 2 2 23 2 2 2 2 2 2 2 2 2 2" xfId="176"/>
    <cellStyle name="Normal 2 2 2 2 2 2 2 23 2 2 2 2 2 2 2 2 3" xfId="177"/>
    <cellStyle name="Normal 2 2 2 2 2 2 2 23 2 2 2 2 2 2 2 2 4" xfId="178"/>
    <cellStyle name="Normal 2 2 2 2 2 2 2 23 2 2 2 2 2 2 2 2 5" xfId="179"/>
    <cellStyle name="Normal 2 2 2 2 2 2 2 23 2 2 2 2 2 2 2 2 6" xfId="180"/>
    <cellStyle name="Normal 2 2 2 2 2 2 2 23 2 2 2 2 2 2 2 2 7" xfId="181"/>
    <cellStyle name="Normal 2 2 2 2 2 2 2 23 2 2 2 2 2 2 2 2 8" xfId="182"/>
    <cellStyle name="Normal 2 2 2 2 2 2 2 23 2 2 2 2 2 2 2 2 9" xfId="183"/>
    <cellStyle name="Normal 2 2 2 2 2 2 2 23 2 2 2 2 2 2 2 3" xfId="184"/>
    <cellStyle name="Normal 2 2 2 2 2 2 2 23 2 2 2 2 2 2 2 3 2" xfId="185"/>
    <cellStyle name="Normal 2 2 2 2 2 2 2 23 2 2 2 2 2 2 2 4" xfId="186"/>
    <cellStyle name="Normal 2 2 2 2 2 2 2 23 2 2 2 2 2 2 2 5" xfId="187"/>
    <cellStyle name="Normal 2 2 2 2 2 2 2 23 2 2 2 2 2 2 2 6" xfId="188"/>
    <cellStyle name="Normal 2 2 2 2 2 2 2 23 2 2 2 2 2 2 2 7" xfId="189"/>
    <cellStyle name="Normal 2 2 2 2 2 2 2 23 2 2 2 2 2 2 2 8" xfId="190"/>
    <cellStyle name="Normal 2 2 2 2 2 2 2 23 2 2 2 2 2 2 2 9" xfId="191"/>
    <cellStyle name="Normal 2 2 2 2 2 2 2 23 2 2 2 2 2 2 3" xfId="192"/>
    <cellStyle name="Normal 2 2 2 2 2 2 2 23 2 2 2 2 2 2 3 2" xfId="193"/>
    <cellStyle name="Normal 2 2 2 2 2 2 2 23 2 2 2 2 2 2 4" xfId="194"/>
    <cellStyle name="Normal 2 2 2 2 2 2 2 23 2 2 2 2 2 2 5" xfId="195"/>
    <cellStyle name="Normal 2 2 2 2 2 2 2 23 2 2 2 2 2 2 6" xfId="196"/>
    <cellStyle name="Normal 2 2 2 2 2 2 2 23 2 2 2 2 2 2 7" xfId="197"/>
    <cellStyle name="Normal 2 2 2 2 2 2 2 23 2 2 2 2 2 2 8" xfId="198"/>
    <cellStyle name="Normal 2 2 2 2 2 2 2 23 2 2 2 2 2 2 9" xfId="199"/>
    <cellStyle name="Normal 2 2 2 2 2 2 2 23 2 2 2 2 2 3" xfId="200"/>
    <cellStyle name="Normal 2 2 2 2 2 2 2 23 2 2 2 2 2 3 10" xfId="201"/>
    <cellStyle name="Normal 2 2 2 2 2 2 2 23 2 2 2 2 2 3 11" xfId="202"/>
    <cellStyle name="Normal 2 2 2 2 2 2 2 23 2 2 2 2 2 3 2" xfId="203"/>
    <cellStyle name="Normal 2 2 2 2 2 2 2 23 2 2 2 2 2 3 2 2" xfId="204"/>
    <cellStyle name="Normal 2 2 2 2 2 2 2 23 2 2 2 2 2 3 3" xfId="205"/>
    <cellStyle name="Normal 2 2 2 2 2 2 2 23 2 2 2 2 2 3 4" xfId="206"/>
    <cellStyle name="Normal 2 2 2 2 2 2 2 23 2 2 2 2 2 3 5" xfId="207"/>
    <cellStyle name="Normal 2 2 2 2 2 2 2 23 2 2 2 2 2 3 6" xfId="208"/>
    <cellStyle name="Normal 2 2 2 2 2 2 2 23 2 2 2 2 2 3 7" xfId="209"/>
    <cellStyle name="Normal 2 2 2 2 2 2 2 23 2 2 2 2 2 3 8" xfId="210"/>
    <cellStyle name="Normal 2 2 2 2 2 2 2 23 2 2 2 2 2 3 9" xfId="211"/>
    <cellStyle name="Normal 2 2 2 2 2 2 2 23 2 2 2 2 2 4" xfId="212"/>
    <cellStyle name="Normal 2 2 2 2 2 2 2 23 2 2 2 2 2 4 2" xfId="213"/>
    <cellStyle name="Normal 2 2 2 2 2 2 2 23 2 2 2 2 2 5" xfId="214"/>
    <cellStyle name="Normal 2 2 2 2 2 2 2 23 2 2 2 2 2 6" xfId="215"/>
    <cellStyle name="Normal 2 2 2 2 2 2 2 23 2 2 2 2 2 7" xfId="216"/>
    <cellStyle name="Normal 2 2 2 2 2 2 2 23 2 2 2 2 2 8" xfId="217"/>
    <cellStyle name="Normal 2 2 2 2 2 2 2 23 2 2 2 2 2 9" xfId="218"/>
    <cellStyle name="Normal 2 2 2 2 2 2 2 23 2 2 2 2 3" xfId="219"/>
    <cellStyle name="Normal 2 2 2 2 2 2 2 23 2 2 2 2 3 10" xfId="220"/>
    <cellStyle name="Normal 2 2 2 2 2 2 2 23 2 2 2 2 3 11" xfId="221"/>
    <cellStyle name="Normal 2 2 2 2 2 2 2 23 2 2 2 2 3 2" xfId="222"/>
    <cellStyle name="Normal 2 2 2 2 2 2 2 23 2 2 2 2 3 2 10" xfId="223"/>
    <cellStyle name="Normal 2 2 2 2 2 2 2 23 2 2 2 2 3 2 11" xfId="224"/>
    <cellStyle name="Normal 2 2 2 2 2 2 2 23 2 2 2 2 3 2 2" xfId="225"/>
    <cellStyle name="Normal 2 2 2 2 2 2 2 23 2 2 2 2 3 2 2 2" xfId="226"/>
    <cellStyle name="Normal 2 2 2 2 2 2 2 23 2 2 2 2 3 2 3" xfId="227"/>
    <cellStyle name="Normal 2 2 2 2 2 2 2 23 2 2 2 2 3 2 4" xfId="228"/>
    <cellStyle name="Normal 2 2 2 2 2 2 2 23 2 2 2 2 3 2 5" xfId="229"/>
    <cellStyle name="Normal 2 2 2 2 2 2 2 23 2 2 2 2 3 2 6" xfId="230"/>
    <cellStyle name="Normal 2 2 2 2 2 2 2 23 2 2 2 2 3 2 7" xfId="231"/>
    <cellStyle name="Normal 2 2 2 2 2 2 2 23 2 2 2 2 3 2 8" xfId="232"/>
    <cellStyle name="Normal 2 2 2 2 2 2 2 23 2 2 2 2 3 2 9" xfId="233"/>
    <cellStyle name="Normal 2 2 2 2 2 2 2 23 2 2 2 2 3 3" xfId="234"/>
    <cellStyle name="Normal 2 2 2 2 2 2 2 23 2 2 2 2 3 3 2" xfId="235"/>
    <cellStyle name="Normal 2 2 2 2 2 2 2 23 2 2 2 2 3 4" xfId="236"/>
    <cellStyle name="Normal 2 2 2 2 2 2 2 23 2 2 2 2 3 5" xfId="237"/>
    <cellStyle name="Normal 2 2 2 2 2 2 2 23 2 2 2 2 3 6" xfId="238"/>
    <cellStyle name="Normal 2 2 2 2 2 2 2 23 2 2 2 2 3 7" xfId="239"/>
    <cellStyle name="Normal 2 2 2 2 2 2 2 23 2 2 2 2 3 8" xfId="240"/>
    <cellStyle name="Normal 2 2 2 2 2 2 2 23 2 2 2 2 3 9" xfId="241"/>
    <cellStyle name="Normal 2 2 2 2 2 2 2 23 2 2 2 2 4" xfId="242"/>
    <cellStyle name="Normal 2 2 2 2 2 2 2 23 2 2 2 2 4 2" xfId="243"/>
    <cellStyle name="Normal 2 2 2 2 2 2 2 23 2 2 2 2 5" xfId="244"/>
    <cellStyle name="Normal 2 2 2 2 2 2 2 23 2 2 2 2 6" xfId="245"/>
    <cellStyle name="Normal 2 2 2 2 2 2 2 23 2 2 2 2 7" xfId="246"/>
    <cellStyle name="Normal 2 2 2 2 2 2 2 23 2 2 2 2 8" xfId="247"/>
    <cellStyle name="Normal 2 2 2 2 2 2 2 23 2 2 2 2 9" xfId="248"/>
    <cellStyle name="Normal 2 2 2 2 2 2 2 23 2 2 2 3" xfId="249"/>
    <cellStyle name="Normal 2 2 2 2 2 2 2 23 2 2 2 3 10" xfId="250"/>
    <cellStyle name="Normal 2 2 2 2 2 2 2 23 2 2 2 3 11" xfId="251"/>
    <cellStyle name="Normal 2 2 2 2 2 2 2 23 2 2 2 3 12" xfId="252"/>
    <cellStyle name="Normal 2 2 2 2 2 2 2 23 2 2 2 3 2" xfId="253"/>
    <cellStyle name="Normal 2 2 2 2 2 2 2 23 2 2 2 3 2 10" xfId="254"/>
    <cellStyle name="Normal 2 2 2 2 2 2 2 23 2 2 2 3 2 11" xfId="255"/>
    <cellStyle name="Normal 2 2 2 2 2 2 2 23 2 2 2 3 2 2" xfId="256"/>
    <cellStyle name="Normal 2 2 2 2 2 2 2 23 2 2 2 3 2 2 10" xfId="257"/>
    <cellStyle name="Normal 2 2 2 2 2 2 2 23 2 2 2 3 2 2 11" xfId="258"/>
    <cellStyle name="Normal 2 2 2 2 2 2 2 23 2 2 2 3 2 2 2" xfId="259"/>
    <cellStyle name="Normal 2 2 2 2 2 2 2 23 2 2 2 3 2 2 2 2" xfId="260"/>
    <cellStyle name="Normal 2 2 2 2 2 2 2 23 2 2 2 3 2 2 3" xfId="261"/>
    <cellStyle name="Normal 2 2 2 2 2 2 2 23 2 2 2 3 2 2 4" xfId="262"/>
    <cellStyle name="Normal 2 2 2 2 2 2 2 23 2 2 2 3 2 2 5" xfId="263"/>
    <cellStyle name="Normal 2 2 2 2 2 2 2 23 2 2 2 3 2 2 6" xfId="264"/>
    <cellStyle name="Normal 2 2 2 2 2 2 2 23 2 2 2 3 2 2 7" xfId="265"/>
    <cellStyle name="Normal 2 2 2 2 2 2 2 23 2 2 2 3 2 2 8" xfId="266"/>
    <cellStyle name="Normal 2 2 2 2 2 2 2 23 2 2 2 3 2 2 9" xfId="267"/>
    <cellStyle name="Normal 2 2 2 2 2 2 2 23 2 2 2 3 2 3" xfId="268"/>
    <cellStyle name="Normal 2 2 2 2 2 2 2 23 2 2 2 3 2 3 2" xfId="269"/>
    <cellStyle name="Normal 2 2 2 2 2 2 2 23 2 2 2 3 2 4" xfId="270"/>
    <cellStyle name="Normal 2 2 2 2 2 2 2 23 2 2 2 3 2 5" xfId="271"/>
    <cellStyle name="Normal 2 2 2 2 2 2 2 23 2 2 2 3 2 6" xfId="272"/>
    <cellStyle name="Normal 2 2 2 2 2 2 2 23 2 2 2 3 2 7" xfId="273"/>
    <cellStyle name="Normal 2 2 2 2 2 2 2 23 2 2 2 3 2 8" xfId="274"/>
    <cellStyle name="Normal 2 2 2 2 2 2 2 23 2 2 2 3 2 9" xfId="275"/>
    <cellStyle name="Normal 2 2 2 2 2 2 2 23 2 2 2 3 3" xfId="276"/>
    <cellStyle name="Normal 2 2 2 2 2 2 2 23 2 2 2 3 3 2" xfId="277"/>
    <cellStyle name="Normal 2 2 2 2 2 2 2 23 2 2 2 3 4" xfId="278"/>
    <cellStyle name="Normal 2 2 2 2 2 2 2 23 2 2 2 3 5" xfId="279"/>
    <cellStyle name="Normal 2 2 2 2 2 2 2 23 2 2 2 3 6" xfId="280"/>
    <cellStyle name="Normal 2 2 2 2 2 2 2 23 2 2 2 3 7" xfId="281"/>
    <cellStyle name="Normal 2 2 2 2 2 2 2 23 2 2 2 3 8" xfId="282"/>
    <cellStyle name="Normal 2 2 2 2 2 2 2 23 2 2 2 3 9" xfId="283"/>
    <cellStyle name="Normal 2 2 2 2 2 2 2 23 2 2 2 4" xfId="284"/>
    <cellStyle name="Normal 2 2 2 2 2 2 2 23 2 2 2 4 10" xfId="285"/>
    <cellStyle name="Normal 2 2 2 2 2 2 2 23 2 2 2 4 11" xfId="286"/>
    <cellStyle name="Normal 2 2 2 2 2 2 2 23 2 2 2 4 2" xfId="287"/>
    <cellStyle name="Normal 2 2 2 2 2 2 2 23 2 2 2 4 2 2" xfId="288"/>
    <cellStyle name="Normal 2 2 2 2 2 2 2 23 2 2 2 4 3" xfId="289"/>
    <cellStyle name="Normal 2 2 2 2 2 2 2 23 2 2 2 4 4" xfId="290"/>
    <cellStyle name="Normal 2 2 2 2 2 2 2 23 2 2 2 4 5" xfId="291"/>
    <cellStyle name="Normal 2 2 2 2 2 2 2 23 2 2 2 4 6" xfId="292"/>
    <cellStyle name="Normal 2 2 2 2 2 2 2 23 2 2 2 4 7" xfId="293"/>
    <cellStyle name="Normal 2 2 2 2 2 2 2 23 2 2 2 4 8" xfId="294"/>
    <cellStyle name="Normal 2 2 2 2 2 2 2 23 2 2 2 4 9" xfId="295"/>
    <cellStyle name="Normal 2 2 2 2 2 2 2 23 2 2 2 5" xfId="296"/>
    <cellStyle name="Normal 2 2 2 2 2 2 2 23 2 2 2 5 2" xfId="297"/>
    <cellStyle name="Normal 2 2 2 2 2 2 2 23 2 2 2 6" xfId="298"/>
    <cellStyle name="Normal 2 2 2 2 2 2 2 23 2 2 2 7" xfId="299"/>
    <cellStyle name="Normal 2 2 2 2 2 2 2 23 2 2 2 8" xfId="300"/>
    <cellStyle name="Normal 2 2 2 2 2 2 2 23 2 2 2 9" xfId="301"/>
    <cellStyle name="Normal 2 2 2 2 2 2 2 23 2 2 3" xfId="302"/>
    <cellStyle name="Normal 2 2 2 2 2 2 2 23 2 2 3 10" xfId="303"/>
    <cellStyle name="Normal 2 2 2 2 2 2 2 23 2 2 3 11" xfId="304"/>
    <cellStyle name="Normal 2 2 2 2 2 2 2 23 2 2 3 12" xfId="305"/>
    <cellStyle name="Normal 2 2 2 2 2 2 2 23 2 2 3 2" xfId="306"/>
    <cellStyle name="Normal 2 2 2 2 2 2 2 23 2 2 3 2 10" xfId="307"/>
    <cellStyle name="Normal 2 2 2 2 2 2 2 23 2 2 3 2 11" xfId="308"/>
    <cellStyle name="Normal 2 2 2 2 2 2 2 23 2 2 3 2 12" xfId="309"/>
    <cellStyle name="Normal 2 2 2 2 2 2 2 23 2 2 3 2 2" xfId="310"/>
    <cellStyle name="Normal 2 2 2 2 2 2 2 23 2 2 3 2 2 10" xfId="311"/>
    <cellStyle name="Normal 2 2 2 2 2 2 2 23 2 2 3 2 2 11" xfId="312"/>
    <cellStyle name="Normal 2 2 2 2 2 2 2 23 2 2 3 2 2 2" xfId="313"/>
    <cellStyle name="Normal 2 2 2 2 2 2 2 23 2 2 3 2 2 2 10" xfId="314"/>
    <cellStyle name="Normal 2 2 2 2 2 2 2 23 2 2 3 2 2 2 11" xfId="315"/>
    <cellStyle name="Normal 2 2 2 2 2 2 2 23 2 2 3 2 2 2 2" xfId="316"/>
    <cellStyle name="Normal 2 2 2 2 2 2 2 23 2 2 3 2 2 2 2 2" xfId="317"/>
    <cellStyle name="Normal 2 2 2 2 2 2 2 23 2 2 3 2 2 2 3" xfId="318"/>
    <cellStyle name="Normal 2 2 2 2 2 2 2 23 2 2 3 2 2 2 4" xfId="319"/>
    <cellStyle name="Normal 2 2 2 2 2 2 2 23 2 2 3 2 2 2 5" xfId="320"/>
    <cellStyle name="Normal 2 2 2 2 2 2 2 23 2 2 3 2 2 2 6" xfId="321"/>
    <cellStyle name="Normal 2 2 2 2 2 2 2 23 2 2 3 2 2 2 7" xfId="322"/>
    <cellStyle name="Normal 2 2 2 2 2 2 2 23 2 2 3 2 2 2 8" xfId="323"/>
    <cellStyle name="Normal 2 2 2 2 2 2 2 23 2 2 3 2 2 2 9" xfId="324"/>
    <cellStyle name="Normal 2 2 2 2 2 2 2 23 2 2 3 2 2 3" xfId="325"/>
    <cellStyle name="Normal 2 2 2 2 2 2 2 23 2 2 3 2 2 3 2" xfId="326"/>
    <cellStyle name="Normal 2 2 2 2 2 2 2 23 2 2 3 2 2 4" xfId="327"/>
    <cellStyle name="Normal 2 2 2 2 2 2 2 23 2 2 3 2 2 5" xfId="328"/>
    <cellStyle name="Normal 2 2 2 2 2 2 2 23 2 2 3 2 2 6" xfId="329"/>
    <cellStyle name="Normal 2 2 2 2 2 2 2 23 2 2 3 2 2 7" xfId="330"/>
    <cellStyle name="Normal 2 2 2 2 2 2 2 23 2 2 3 2 2 8" xfId="331"/>
    <cellStyle name="Normal 2 2 2 2 2 2 2 23 2 2 3 2 2 9" xfId="332"/>
    <cellStyle name="Normal 2 2 2 2 2 2 2 23 2 2 3 2 3" xfId="333"/>
    <cellStyle name="Normal 2 2 2 2 2 2 2 23 2 2 3 2 3 2" xfId="334"/>
    <cellStyle name="Normal 2 2 2 2 2 2 2 23 2 2 3 2 4" xfId="335"/>
    <cellStyle name="Normal 2 2 2 2 2 2 2 23 2 2 3 2 5" xfId="336"/>
    <cellStyle name="Normal 2 2 2 2 2 2 2 23 2 2 3 2 6" xfId="337"/>
    <cellStyle name="Normal 2 2 2 2 2 2 2 23 2 2 3 2 7" xfId="338"/>
    <cellStyle name="Normal 2 2 2 2 2 2 2 23 2 2 3 2 8" xfId="339"/>
    <cellStyle name="Normal 2 2 2 2 2 2 2 23 2 2 3 2 9" xfId="340"/>
    <cellStyle name="Normal 2 2 2 2 2 2 2 23 2 2 3 3" xfId="341"/>
    <cellStyle name="Normal 2 2 2 2 2 2 2 23 2 2 3 3 10" xfId="342"/>
    <cellStyle name="Normal 2 2 2 2 2 2 2 23 2 2 3 3 11" xfId="343"/>
    <cellStyle name="Normal 2 2 2 2 2 2 2 23 2 2 3 3 2" xfId="344"/>
    <cellStyle name="Normal 2 2 2 2 2 2 2 23 2 2 3 3 2 2" xfId="345"/>
    <cellStyle name="Normal 2 2 2 2 2 2 2 23 2 2 3 3 3" xfId="346"/>
    <cellStyle name="Normal 2 2 2 2 2 2 2 23 2 2 3 3 4" xfId="347"/>
    <cellStyle name="Normal 2 2 2 2 2 2 2 23 2 2 3 3 5" xfId="348"/>
    <cellStyle name="Normal 2 2 2 2 2 2 2 23 2 2 3 3 6" xfId="349"/>
    <cellStyle name="Normal 2 2 2 2 2 2 2 23 2 2 3 3 7" xfId="350"/>
    <cellStyle name="Normal 2 2 2 2 2 2 2 23 2 2 3 3 8" xfId="351"/>
    <cellStyle name="Normal 2 2 2 2 2 2 2 23 2 2 3 3 9" xfId="352"/>
    <cellStyle name="Normal 2 2 2 2 2 2 2 23 2 2 3 4" xfId="353"/>
    <cellStyle name="Normal 2 2 2 2 2 2 2 23 2 2 3 4 2" xfId="354"/>
    <cellStyle name="Normal 2 2 2 2 2 2 2 23 2 2 3 5" xfId="355"/>
    <cellStyle name="Normal 2 2 2 2 2 2 2 23 2 2 3 6" xfId="356"/>
    <cellStyle name="Normal 2 2 2 2 2 2 2 23 2 2 3 7" xfId="357"/>
    <cellStyle name="Normal 2 2 2 2 2 2 2 23 2 2 3 8" xfId="358"/>
    <cellStyle name="Normal 2 2 2 2 2 2 2 23 2 2 3 9" xfId="359"/>
    <cellStyle name="Normal 2 2 2 2 2 2 2 23 2 2 4" xfId="360"/>
    <cellStyle name="Normal 2 2 2 2 2 2 2 23 2 2 4 10" xfId="361"/>
    <cellStyle name="Normal 2 2 2 2 2 2 2 23 2 2 4 11" xfId="362"/>
    <cellStyle name="Normal 2 2 2 2 2 2 2 23 2 2 4 2" xfId="363"/>
    <cellStyle name="Normal 2 2 2 2 2 2 2 23 2 2 4 2 10" xfId="364"/>
    <cellStyle name="Normal 2 2 2 2 2 2 2 23 2 2 4 2 11" xfId="365"/>
    <cellStyle name="Normal 2 2 2 2 2 2 2 23 2 2 4 2 2" xfId="366"/>
    <cellStyle name="Normal 2 2 2 2 2 2 2 23 2 2 4 2 2 2" xfId="367"/>
    <cellStyle name="Normal 2 2 2 2 2 2 2 23 2 2 4 2 3" xfId="368"/>
    <cellStyle name="Normal 2 2 2 2 2 2 2 23 2 2 4 2 4" xfId="369"/>
    <cellStyle name="Normal 2 2 2 2 2 2 2 23 2 2 4 2 5" xfId="370"/>
    <cellStyle name="Normal 2 2 2 2 2 2 2 23 2 2 4 2 6" xfId="371"/>
    <cellStyle name="Normal 2 2 2 2 2 2 2 23 2 2 4 2 7" xfId="372"/>
    <cellStyle name="Normal 2 2 2 2 2 2 2 23 2 2 4 2 8" xfId="373"/>
    <cellStyle name="Normal 2 2 2 2 2 2 2 23 2 2 4 2 9" xfId="374"/>
    <cellStyle name="Normal 2 2 2 2 2 2 2 23 2 2 4 3" xfId="375"/>
    <cellStyle name="Normal 2 2 2 2 2 2 2 23 2 2 4 3 2" xfId="376"/>
    <cellStyle name="Normal 2 2 2 2 2 2 2 23 2 2 4 4" xfId="377"/>
    <cellStyle name="Normal 2 2 2 2 2 2 2 23 2 2 4 5" xfId="378"/>
    <cellStyle name="Normal 2 2 2 2 2 2 2 23 2 2 4 6" xfId="379"/>
    <cellStyle name="Normal 2 2 2 2 2 2 2 23 2 2 4 7" xfId="380"/>
    <cellStyle name="Normal 2 2 2 2 2 2 2 23 2 2 4 8" xfId="381"/>
    <cellStyle name="Normal 2 2 2 2 2 2 2 23 2 2 4 9" xfId="382"/>
    <cellStyle name="Normal 2 2 2 2 2 2 2 23 2 2 5" xfId="383"/>
    <cellStyle name="Normal 2 2 2 2 2 2 2 23 2 2 5 2" xfId="384"/>
    <cellStyle name="Normal 2 2 2 2 2 2 2 23 2 2 6" xfId="385"/>
    <cellStyle name="Normal 2 2 2 2 2 2 2 23 2 2 7" xfId="386"/>
    <cellStyle name="Normal 2 2 2 2 2 2 2 23 2 2 8" xfId="387"/>
    <cellStyle name="Normal 2 2 2 2 2 2 2 23 2 2 9" xfId="388"/>
    <cellStyle name="Normal 2 2 2 2 2 2 2 23 2 3" xfId="389"/>
    <cellStyle name="Normal 2 2 2 2 2 2 2 23 2 3 10" xfId="390"/>
    <cellStyle name="Normal 2 2 2 2 2 2 2 23 2 3 11" xfId="391"/>
    <cellStyle name="Normal 2 2 2 2 2 2 2 23 2 3 12" xfId="392"/>
    <cellStyle name="Normal 2 2 2 2 2 2 2 23 2 3 13" xfId="393"/>
    <cellStyle name="Normal 2 2 2 2 2 2 2 23 2 3 2" xfId="394"/>
    <cellStyle name="Normal 2 2 2 2 2 2 2 23 2 3 2 10" xfId="395"/>
    <cellStyle name="Normal 2 2 2 2 2 2 2 23 2 3 2 11" xfId="396"/>
    <cellStyle name="Normal 2 2 2 2 2 2 2 23 2 3 2 12" xfId="397"/>
    <cellStyle name="Normal 2 2 2 2 2 2 2 23 2 3 2 2" xfId="398"/>
    <cellStyle name="Normal 2 2 2 2 2 2 2 23 2 3 2 2 10" xfId="399"/>
    <cellStyle name="Normal 2 2 2 2 2 2 2 23 2 3 2 2 11" xfId="400"/>
    <cellStyle name="Normal 2 2 2 2 2 2 2 23 2 3 2 2 12" xfId="401"/>
    <cellStyle name="Normal 2 2 2 2 2 2 2 23 2 3 2 2 2" xfId="402"/>
    <cellStyle name="Normal 2 2 2 2 2 2 2 23 2 3 2 2 2 10" xfId="403"/>
    <cellStyle name="Normal 2 2 2 2 2 2 2 23 2 3 2 2 2 11" xfId="404"/>
    <cellStyle name="Normal 2 2 2 2 2 2 2 23 2 3 2 2 2 2" xfId="405"/>
    <cellStyle name="Normal 2 2 2 2 2 2 2 23 2 3 2 2 2 2 10" xfId="406"/>
    <cellStyle name="Normal 2 2 2 2 2 2 2 23 2 3 2 2 2 2 11" xfId="407"/>
    <cellStyle name="Normal 2 2 2 2 2 2 2 23 2 3 2 2 2 2 2" xfId="408"/>
    <cellStyle name="Normal 2 2 2 2 2 2 2 23 2 3 2 2 2 2 2 2" xfId="409"/>
    <cellStyle name="Normal 2 2 2 2 2 2 2 23 2 3 2 2 2 2 3" xfId="410"/>
    <cellStyle name="Normal 2 2 2 2 2 2 2 23 2 3 2 2 2 2 4" xfId="411"/>
    <cellStyle name="Normal 2 2 2 2 2 2 2 23 2 3 2 2 2 2 5" xfId="412"/>
    <cellStyle name="Normal 2 2 2 2 2 2 2 23 2 3 2 2 2 2 6" xfId="413"/>
    <cellStyle name="Normal 2 2 2 2 2 2 2 23 2 3 2 2 2 2 7" xfId="414"/>
    <cellStyle name="Normal 2 2 2 2 2 2 2 23 2 3 2 2 2 2 8" xfId="415"/>
    <cellStyle name="Normal 2 2 2 2 2 2 2 23 2 3 2 2 2 2 9" xfId="416"/>
    <cellStyle name="Normal 2 2 2 2 2 2 2 23 2 3 2 2 2 3" xfId="417"/>
    <cellStyle name="Normal 2 2 2 2 2 2 2 23 2 3 2 2 2 3 2" xfId="418"/>
    <cellStyle name="Normal 2 2 2 2 2 2 2 23 2 3 2 2 2 4" xfId="419"/>
    <cellStyle name="Normal 2 2 2 2 2 2 2 23 2 3 2 2 2 5" xfId="420"/>
    <cellStyle name="Normal 2 2 2 2 2 2 2 23 2 3 2 2 2 6" xfId="421"/>
    <cellStyle name="Normal 2 2 2 2 2 2 2 23 2 3 2 2 2 7" xfId="422"/>
    <cellStyle name="Normal 2 2 2 2 2 2 2 23 2 3 2 2 2 8" xfId="423"/>
    <cellStyle name="Normal 2 2 2 2 2 2 2 23 2 3 2 2 2 9" xfId="424"/>
    <cellStyle name="Normal 2 2 2 2 2 2 2 23 2 3 2 2 3" xfId="425"/>
    <cellStyle name="Normal 2 2 2 2 2 2 2 23 2 3 2 2 3 2" xfId="426"/>
    <cellStyle name="Normal 2 2 2 2 2 2 2 23 2 3 2 2 4" xfId="427"/>
    <cellStyle name="Normal 2 2 2 2 2 2 2 23 2 3 2 2 5" xfId="428"/>
    <cellStyle name="Normal 2 2 2 2 2 2 2 23 2 3 2 2 6" xfId="429"/>
    <cellStyle name="Normal 2 2 2 2 2 2 2 23 2 3 2 2 7" xfId="430"/>
    <cellStyle name="Normal 2 2 2 2 2 2 2 23 2 3 2 2 8" xfId="431"/>
    <cellStyle name="Normal 2 2 2 2 2 2 2 23 2 3 2 2 9" xfId="432"/>
    <cellStyle name="Normal 2 2 2 2 2 2 2 23 2 3 2 3" xfId="433"/>
    <cellStyle name="Normal 2 2 2 2 2 2 2 23 2 3 2 3 10" xfId="434"/>
    <cellStyle name="Normal 2 2 2 2 2 2 2 23 2 3 2 3 11" xfId="435"/>
    <cellStyle name="Normal 2 2 2 2 2 2 2 23 2 3 2 3 2" xfId="436"/>
    <cellStyle name="Normal 2 2 2 2 2 2 2 23 2 3 2 3 2 2" xfId="437"/>
    <cellStyle name="Normal 2 2 2 2 2 2 2 23 2 3 2 3 3" xfId="438"/>
    <cellStyle name="Normal 2 2 2 2 2 2 2 23 2 3 2 3 4" xfId="439"/>
    <cellStyle name="Normal 2 2 2 2 2 2 2 23 2 3 2 3 5" xfId="440"/>
    <cellStyle name="Normal 2 2 2 2 2 2 2 23 2 3 2 3 6" xfId="441"/>
    <cellStyle name="Normal 2 2 2 2 2 2 2 23 2 3 2 3 7" xfId="442"/>
    <cellStyle name="Normal 2 2 2 2 2 2 2 23 2 3 2 3 8" xfId="443"/>
    <cellStyle name="Normal 2 2 2 2 2 2 2 23 2 3 2 3 9" xfId="444"/>
    <cellStyle name="Normal 2 2 2 2 2 2 2 23 2 3 2 4" xfId="445"/>
    <cellStyle name="Normal 2 2 2 2 2 2 2 23 2 3 2 4 2" xfId="446"/>
    <cellStyle name="Normal 2 2 2 2 2 2 2 23 2 3 2 5" xfId="447"/>
    <cellStyle name="Normal 2 2 2 2 2 2 2 23 2 3 2 6" xfId="448"/>
    <cellStyle name="Normal 2 2 2 2 2 2 2 23 2 3 2 7" xfId="449"/>
    <cellStyle name="Normal 2 2 2 2 2 2 2 23 2 3 2 8" xfId="450"/>
    <cellStyle name="Normal 2 2 2 2 2 2 2 23 2 3 2 9" xfId="451"/>
    <cellStyle name="Normal 2 2 2 2 2 2 2 23 2 3 3" xfId="452"/>
    <cellStyle name="Normal 2 2 2 2 2 2 2 23 2 3 3 10" xfId="453"/>
    <cellStyle name="Normal 2 2 2 2 2 2 2 23 2 3 3 11" xfId="454"/>
    <cellStyle name="Normal 2 2 2 2 2 2 2 23 2 3 3 2" xfId="455"/>
    <cellStyle name="Normal 2 2 2 2 2 2 2 23 2 3 3 2 10" xfId="456"/>
    <cellStyle name="Normal 2 2 2 2 2 2 2 23 2 3 3 2 11" xfId="457"/>
    <cellStyle name="Normal 2 2 2 2 2 2 2 23 2 3 3 2 2" xfId="458"/>
    <cellStyle name="Normal 2 2 2 2 2 2 2 23 2 3 3 2 2 2" xfId="459"/>
    <cellStyle name="Normal 2 2 2 2 2 2 2 23 2 3 3 2 3" xfId="460"/>
    <cellStyle name="Normal 2 2 2 2 2 2 2 23 2 3 3 2 4" xfId="461"/>
    <cellStyle name="Normal 2 2 2 2 2 2 2 23 2 3 3 2 5" xfId="462"/>
    <cellStyle name="Normal 2 2 2 2 2 2 2 23 2 3 3 2 6" xfId="463"/>
    <cellStyle name="Normal 2 2 2 2 2 2 2 23 2 3 3 2 7" xfId="464"/>
    <cellStyle name="Normal 2 2 2 2 2 2 2 23 2 3 3 2 8" xfId="465"/>
    <cellStyle name="Normal 2 2 2 2 2 2 2 23 2 3 3 2 9" xfId="466"/>
    <cellStyle name="Normal 2 2 2 2 2 2 2 23 2 3 3 3" xfId="467"/>
    <cellStyle name="Normal 2 2 2 2 2 2 2 23 2 3 3 3 2" xfId="468"/>
    <cellStyle name="Normal 2 2 2 2 2 2 2 23 2 3 3 4" xfId="469"/>
    <cellStyle name="Normal 2 2 2 2 2 2 2 23 2 3 3 5" xfId="470"/>
    <cellStyle name="Normal 2 2 2 2 2 2 2 23 2 3 3 6" xfId="471"/>
    <cellStyle name="Normal 2 2 2 2 2 2 2 23 2 3 3 7" xfId="472"/>
    <cellStyle name="Normal 2 2 2 2 2 2 2 23 2 3 3 8" xfId="473"/>
    <cellStyle name="Normal 2 2 2 2 2 2 2 23 2 3 3 9" xfId="474"/>
    <cellStyle name="Normal 2 2 2 2 2 2 2 23 2 3 4" xfId="475"/>
    <cellStyle name="Normal 2 2 2 2 2 2 2 23 2 3 4 2" xfId="476"/>
    <cellStyle name="Normal 2 2 2 2 2 2 2 23 2 3 5" xfId="477"/>
    <cellStyle name="Normal 2 2 2 2 2 2 2 23 2 3 6" xfId="478"/>
    <cellStyle name="Normal 2 2 2 2 2 2 2 23 2 3 7" xfId="479"/>
    <cellStyle name="Normal 2 2 2 2 2 2 2 23 2 3 8" xfId="480"/>
    <cellStyle name="Normal 2 2 2 2 2 2 2 23 2 3 9" xfId="481"/>
    <cellStyle name="Normal 2 2 2 2 2 2 2 23 2 4" xfId="482"/>
    <cellStyle name="Normal 2 2 2 2 2 2 2 23 2 4 10" xfId="483"/>
    <cellStyle name="Normal 2 2 2 2 2 2 2 23 2 4 11" xfId="484"/>
    <cellStyle name="Normal 2 2 2 2 2 2 2 23 2 4 12" xfId="485"/>
    <cellStyle name="Normal 2 2 2 2 2 2 2 23 2 4 2" xfId="486"/>
    <cellStyle name="Normal 2 2 2 2 2 2 2 23 2 4 2 10" xfId="487"/>
    <cellStyle name="Normal 2 2 2 2 2 2 2 23 2 4 2 11" xfId="488"/>
    <cellStyle name="Normal 2 2 2 2 2 2 2 23 2 4 2 2" xfId="489"/>
    <cellStyle name="Normal 2 2 2 2 2 2 2 23 2 4 2 2 10" xfId="490"/>
    <cellStyle name="Normal 2 2 2 2 2 2 2 23 2 4 2 2 11" xfId="491"/>
    <cellStyle name="Normal 2 2 2 2 2 2 2 23 2 4 2 2 2" xfId="492"/>
    <cellStyle name="Normal 2 2 2 2 2 2 2 23 2 4 2 2 2 2" xfId="493"/>
    <cellStyle name="Normal 2 2 2 2 2 2 2 23 2 4 2 2 3" xfId="494"/>
    <cellStyle name="Normal 2 2 2 2 2 2 2 23 2 4 2 2 4" xfId="495"/>
    <cellStyle name="Normal 2 2 2 2 2 2 2 23 2 4 2 2 5" xfId="496"/>
    <cellStyle name="Normal 2 2 2 2 2 2 2 23 2 4 2 2 6" xfId="497"/>
    <cellStyle name="Normal 2 2 2 2 2 2 2 23 2 4 2 2 7" xfId="498"/>
    <cellStyle name="Normal 2 2 2 2 2 2 2 23 2 4 2 2 8" xfId="499"/>
    <cellStyle name="Normal 2 2 2 2 2 2 2 23 2 4 2 2 9" xfId="500"/>
    <cellStyle name="Normal 2 2 2 2 2 2 2 23 2 4 2 3" xfId="501"/>
    <cellStyle name="Normal 2 2 2 2 2 2 2 23 2 4 2 3 2" xfId="502"/>
    <cellStyle name="Normal 2 2 2 2 2 2 2 23 2 4 2 4" xfId="503"/>
    <cellStyle name="Normal 2 2 2 2 2 2 2 23 2 4 2 5" xfId="504"/>
    <cellStyle name="Normal 2 2 2 2 2 2 2 23 2 4 2 6" xfId="505"/>
    <cellStyle name="Normal 2 2 2 2 2 2 2 23 2 4 2 7" xfId="506"/>
    <cellStyle name="Normal 2 2 2 2 2 2 2 23 2 4 2 8" xfId="507"/>
    <cellStyle name="Normal 2 2 2 2 2 2 2 23 2 4 2 9" xfId="508"/>
    <cellStyle name="Normal 2 2 2 2 2 2 2 23 2 4 3" xfId="509"/>
    <cellStyle name="Normal 2 2 2 2 2 2 2 23 2 4 3 2" xfId="510"/>
    <cellStyle name="Normal 2 2 2 2 2 2 2 23 2 4 4" xfId="511"/>
    <cellStyle name="Normal 2 2 2 2 2 2 2 23 2 4 5" xfId="512"/>
    <cellStyle name="Normal 2 2 2 2 2 2 2 23 2 4 6" xfId="513"/>
    <cellStyle name="Normal 2 2 2 2 2 2 2 23 2 4 7" xfId="514"/>
    <cellStyle name="Normal 2 2 2 2 2 2 2 23 2 4 8" xfId="515"/>
    <cellStyle name="Normal 2 2 2 2 2 2 2 23 2 4 9" xfId="516"/>
    <cellStyle name="Normal 2 2 2 2 2 2 2 23 2 5" xfId="517"/>
    <cellStyle name="Normal 2 2 2 2 2 2 2 23 2 5 10" xfId="518"/>
    <cellStyle name="Normal 2 2 2 2 2 2 2 23 2 5 11" xfId="519"/>
    <cellStyle name="Normal 2 2 2 2 2 2 2 23 2 5 2" xfId="520"/>
    <cellStyle name="Normal 2 2 2 2 2 2 2 23 2 5 2 2" xfId="521"/>
    <cellStyle name="Normal 2 2 2 2 2 2 2 23 2 5 3" xfId="522"/>
    <cellStyle name="Normal 2 2 2 2 2 2 2 23 2 5 4" xfId="523"/>
    <cellStyle name="Normal 2 2 2 2 2 2 2 23 2 5 5" xfId="524"/>
    <cellStyle name="Normal 2 2 2 2 2 2 2 23 2 5 6" xfId="525"/>
    <cellStyle name="Normal 2 2 2 2 2 2 2 23 2 5 7" xfId="526"/>
    <cellStyle name="Normal 2 2 2 2 2 2 2 23 2 5 8" xfId="527"/>
    <cellStyle name="Normal 2 2 2 2 2 2 2 23 2 5 9" xfId="528"/>
    <cellStyle name="Normal 2 2 2 2 2 2 2 23 2 6" xfId="529"/>
    <cellStyle name="Normal 2 2 2 2 2 2 2 23 2 6 2" xfId="530"/>
    <cellStyle name="Normal 2 2 2 2 2 2 2 23 2 7" xfId="531"/>
    <cellStyle name="Normal 2 2 2 2 2 2 2 23 2 8" xfId="532"/>
    <cellStyle name="Normal 2 2 2 2 2 2 2 23 2 9" xfId="533"/>
    <cellStyle name="Normal 2 2 2 2 2 2 2 23 3" xfId="534"/>
    <cellStyle name="Normal 2 2 2 2 2 2 2 23 3 10" xfId="535"/>
    <cellStyle name="Normal 2 2 2 2 2 2 2 23 3 11" xfId="536"/>
    <cellStyle name="Normal 2 2 2 2 2 2 2 23 3 12" xfId="537"/>
    <cellStyle name="Normal 2 2 2 2 2 2 2 23 3 13" xfId="538"/>
    <cellStyle name="Normal 2 2 2 2 2 2 2 23 3 2" xfId="539"/>
    <cellStyle name="Normal 2 2 2 2 2 2 2 23 3 2 10" xfId="540"/>
    <cellStyle name="Normal 2 2 2 2 2 2 2 23 3 2 11" xfId="541"/>
    <cellStyle name="Normal 2 2 2 2 2 2 2 23 3 2 12" xfId="542"/>
    <cellStyle name="Normal 2 2 2 2 2 2 2 23 3 2 13" xfId="543"/>
    <cellStyle name="Normal 2 2 2 2 2 2 2 23 3 2 2" xfId="544"/>
    <cellStyle name="Normal 2 2 2 2 2 2 2 23 3 2 2 10" xfId="545"/>
    <cellStyle name="Normal 2 2 2 2 2 2 2 23 3 2 2 11" xfId="546"/>
    <cellStyle name="Normal 2 2 2 2 2 2 2 23 3 2 2 12" xfId="547"/>
    <cellStyle name="Normal 2 2 2 2 2 2 2 23 3 2 2 2" xfId="548"/>
    <cellStyle name="Normal 2 2 2 2 2 2 2 23 3 2 2 2 10" xfId="549"/>
    <cellStyle name="Normal 2 2 2 2 2 2 2 23 3 2 2 2 11" xfId="550"/>
    <cellStyle name="Normal 2 2 2 2 2 2 2 23 3 2 2 2 12" xfId="551"/>
    <cellStyle name="Normal 2 2 2 2 2 2 2 23 3 2 2 2 2" xfId="552"/>
    <cellStyle name="Normal 2 2 2 2 2 2 2 23 3 2 2 2 2 10" xfId="553"/>
    <cellStyle name="Normal 2 2 2 2 2 2 2 23 3 2 2 2 2 11" xfId="554"/>
    <cellStyle name="Normal 2 2 2 2 2 2 2 23 3 2 2 2 2 2" xfId="555"/>
    <cellStyle name="Normal 2 2 2 2 2 2 2 23 3 2 2 2 2 2 10" xfId="556"/>
    <cellStyle name="Normal 2 2 2 2 2 2 2 23 3 2 2 2 2 2 11" xfId="557"/>
    <cellStyle name="Normal 2 2 2 2 2 2 2 23 3 2 2 2 2 2 2" xfId="558"/>
    <cellStyle name="Normal 2 2 2 2 2 2 2 23 3 2 2 2 2 2 2 2" xfId="559"/>
    <cellStyle name="Normal 2 2 2 2 2 2 2 23 3 2 2 2 2 2 3" xfId="560"/>
    <cellStyle name="Normal 2 2 2 2 2 2 2 23 3 2 2 2 2 2 4" xfId="561"/>
    <cellStyle name="Normal 2 2 2 2 2 2 2 23 3 2 2 2 2 2 5" xfId="562"/>
    <cellStyle name="Normal 2 2 2 2 2 2 2 23 3 2 2 2 2 2 6" xfId="563"/>
    <cellStyle name="Normal 2 2 2 2 2 2 2 23 3 2 2 2 2 2 7" xfId="564"/>
    <cellStyle name="Normal 2 2 2 2 2 2 2 23 3 2 2 2 2 2 8" xfId="565"/>
    <cellStyle name="Normal 2 2 2 2 2 2 2 23 3 2 2 2 2 2 9" xfId="566"/>
    <cellStyle name="Normal 2 2 2 2 2 2 2 23 3 2 2 2 2 3" xfId="567"/>
    <cellStyle name="Normal 2 2 2 2 2 2 2 23 3 2 2 2 2 3 2" xfId="568"/>
    <cellStyle name="Normal 2 2 2 2 2 2 2 23 3 2 2 2 2 4" xfId="569"/>
    <cellStyle name="Normal 2 2 2 2 2 2 2 23 3 2 2 2 2 5" xfId="570"/>
    <cellStyle name="Normal 2 2 2 2 2 2 2 23 3 2 2 2 2 6" xfId="571"/>
    <cellStyle name="Normal 2 2 2 2 2 2 2 23 3 2 2 2 2 7" xfId="572"/>
    <cellStyle name="Normal 2 2 2 2 2 2 2 23 3 2 2 2 2 8" xfId="573"/>
    <cellStyle name="Normal 2 2 2 2 2 2 2 23 3 2 2 2 2 9" xfId="574"/>
    <cellStyle name="Normal 2 2 2 2 2 2 2 23 3 2 2 2 3" xfId="575"/>
    <cellStyle name="Normal 2 2 2 2 2 2 2 23 3 2 2 2 3 2" xfId="576"/>
    <cellStyle name="Normal 2 2 2 2 2 2 2 23 3 2 2 2 4" xfId="577"/>
    <cellStyle name="Normal 2 2 2 2 2 2 2 23 3 2 2 2 5" xfId="578"/>
    <cellStyle name="Normal 2 2 2 2 2 2 2 23 3 2 2 2 6" xfId="579"/>
    <cellStyle name="Normal 2 2 2 2 2 2 2 23 3 2 2 2 7" xfId="580"/>
    <cellStyle name="Normal 2 2 2 2 2 2 2 23 3 2 2 2 8" xfId="581"/>
    <cellStyle name="Normal 2 2 2 2 2 2 2 23 3 2 2 2 9" xfId="582"/>
    <cellStyle name="Normal 2 2 2 2 2 2 2 23 3 2 2 3" xfId="583"/>
    <cellStyle name="Normal 2 2 2 2 2 2 2 23 3 2 2 3 10" xfId="584"/>
    <cellStyle name="Normal 2 2 2 2 2 2 2 23 3 2 2 3 11" xfId="585"/>
    <cellStyle name="Normal 2 2 2 2 2 2 2 23 3 2 2 3 2" xfId="586"/>
    <cellStyle name="Normal 2 2 2 2 2 2 2 23 3 2 2 3 2 2" xfId="587"/>
    <cellStyle name="Normal 2 2 2 2 2 2 2 23 3 2 2 3 3" xfId="588"/>
    <cellStyle name="Normal 2 2 2 2 2 2 2 23 3 2 2 3 4" xfId="589"/>
    <cellStyle name="Normal 2 2 2 2 2 2 2 23 3 2 2 3 5" xfId="590"/>
    <cellStyle name="Normal 2 2 2 2 2 2 2 23 3 2 2 3 6" xfId="591"/>
    <cellStyle name="Normal 2 2 2 2 2 2 2 23 3 2 2 3 7" xfId="592"/>
    <cellStyle name="Normal 2 2 2 2 2 2 2 23 3 2 2 3 8" xfId="593"/>
    <cellStyle name="Normal 2 2 2 2 2 2 2 23 3 2 2 3 9" xfId="594"/>
    <cellStyle name="Normal 2 2 2 2 2 2 2 23 3 2 2 4" xfId="595"/>
    <cellStyle name="Normal 2 2 2 2 2 2 2 23 3 2 2 4 2" xfId="596"/>
    <cellStyle name="Normal 2 2 2 2 2 2 2 23 3 2 2 5" xfId="597"/>
    <cellStyle name="Normal 2 2 2 2 2 2 2 23 3 2 2 6" xfId="598"/>
    <cellStyle name="Normal 2 2 2 2 2 2 2 23 3 2 2 7" xfId="599"/>
    <cellStyle name="Normal 2 2 2 2 2 2 2 23 3 2 2 8" xfId="600"/>
    <cellStyle name="Normal 2 2 2 2 2 2 2 23 3 2 2 9" xfId="601"/>
    <cellStyle name="Normal 2 2 2 2 2 2 2 23 3 2 3" xfId="602"/>
    <cellStyle name="Normal 2 2 2 2 2 2 2 23 3 2 3 10" xfId="603"/>
    <cellStyle name="Normal 2 2 2 2 2 2 2 23 3 2 3 11" xfId="604"/>
    <cellStyle name="Normal 2 2 2 2 2 2 2 23 3 2 3 2" xfId="605"/>
    <cellStyle name="Normal 2 2 2 2 2 2 2 23 3 2 3 2 10" xfId="606"/>
    <cellStyle name="Normal 2 2 2 2 2 2 2 23 3 2 3 2 11" xfId="607"/>
    <cellStyle name="Normal 2 2 2 2 2 2 2 23 3 2 3 2 2" xfId="608"/>
    <cellStyle name="Normal 2 2 2 2 2 2 2 23 3 2 3 2 2 2" xfId="609"/>
    <cellStyle name="Normal 2 2 2 2 2 2 2 23 3 2 3 2 3" xfId="610"/>
    <cellStyle name="Normal 2 2 2 2 2 2 2 23 3 2 3 2 4" xfId="611"/>
    <cellStyle name="Normal 2 2 2 2 2 2 2 23 3 2 3 2 5" xfId="612"/>
    <cellStyle name="Normal 2 2 2 2 2 2 2 23 3 2 3 2 6" xfId="613"/>
    <cellStyle name="Normal 2 2 2 2 2 2 2 23 3 2 3 2 7" xfId="614"/>
    <cellStyle name="Normal 2 2 2 2 2 2 2 23 3 2 3 2 8" xfId="615"/>
    <cellStyle name="Normal 2 2 2 2 2 2 2 23 3 2 3 2 9" xfId="616"/>
    <cellStyle name="Normal 2 2 2 2 2 2 2 23 3 2 3 3" xfId="617"/>
    <cellStyle name="Normal 2 2 2 2 2 2 2 23 3 2 3 3 2" xfId="618"/>
    <cellStyle name="Normal 2 2 2 2 2 2 2 23 3 2 3 4" xfId="619"/>
    <cellStyle name="Normal 2 2 2 2 2 2 2 23 3 2 3 5" xfId="620"/>
    <cellStyle name="Normal 2 2 2 2 2 2 2 23 3 2 3 6" xfId="621"/>
    <cellStyle name="Normal 2 2 2 2 2 2 2 23 3 2 3 7" xfId="622"/>
    <cellStyle name="Normal 2 2 2 2 2 2 2 23 3 2 3 8" xfId="623"/>
    <cellStyle name="Normal 2 2 2 2 2 2 2 23 3 2 3 9" xfId="624"/>
    <cellStyle name="Normal 2 2 2 2 2 2 2 23 3 2 4" xfId="625"/>
    <cellStyle name="Normal 2 2 2 2 2 2 2 23 3 2 4 2" xfId="626"/>
    <cellStyle name="Normal 2 2 2 2 2 2 2 23 3 2 5" xfId="627"/>
    <cellStyle name="Normal 2 2 2 2 2 2 2 23 3 2 6" xfId="628"/>
    <cellStyle name="Normal 2 2 2 2 2 2 2 23 3 2 7" xfId="629"/>
    <cellStyle name="Normal 2 2 2 2 2 2 2 23 3 2 8" xfId="630"/>
    <cellStyle name="Normal 2 2 2 2 2 2 2 23 3 2 9" xfId="631"/>
    <cellStyle name="Normal 2 2 2 2 2 2 2 23 3 3" xfId="632"/>
    <cellStyle name="Normal 2 2 2 2 2 2 2 23 3 3 10" xfId="633"/>
    <cellStyle name="Normal 2 2 2 2 2 2 2 23 3 3 11" xfId="634"/>
    <cellStyle name="Normal 2 2 2 2 2 2 2 23 3 3 12" xfId="635"/>
    <cellStyle name="Normal 2 2 2 2 2 2 2 23 3 3 2" xfId="636"/>
    <cellStyle name="Normal 2 2 2 2 2 2 2 23 3 3 2 10" xfId="637"/>
    <cellStyle name="Normal 2 2 2 2 2 2 2 23 3 3 2 11" xfId="638"/>
    <cellStyle name="Normal 2 2 2 2 2 2 2 23 3 3 2 2" xfId="639"/>
    <cellStyle name="Normal 2 2 2 2 2 2 2 23 3 3 2 2 10" xfId="640"/>
    <cellStyle name="Normal 2 2 2 2 2 2 2 23 3 3 2 2 11" xfId="641"/>
    <cellStyle name="Normal 2 2 2 2 2 2 2 23 3 3 2 2 2" xfId="642"/>
    <cellStyle name="Normal 2 2 2 2 2 2 2 23 3 3 2 2 2 2" xfId="643"/>
    <cellStyle name="Normal 2 2 2 2 2 2 2 23 3 3 2 2 3" xfId="644"/>
    <cellStyle name="Normal 2 2 2 2 2 2 2 23 3 3 2 2 4" xfId="645"/>
    <cellStyle name="Normal 2 2 2 2 2 2 2 23 3 3 2 2 5" xfId="646"/>
    <cellStyle name="Normal 2 2 2 2 2 2 2 23 3 3 2 2 6" xfId="647"/>
    <cellStyle name="Normal 2 2 2 2 2 2 2 23 3 3 2 2 7" xfId="648"/>
    <cellStyle name="Normal 2 2 2 2 2 2 2 23 3 3 2 2 8" xfId="649"/>
    <cellStyle name="Normal 2 2 2 2 2 2 2 23 3 3 2 2 9" xfId="650"/>
    <cellStyle name="Normal 2 2 2 2 2 2 2 23 3 3 2 3" xfId="651"/>
    <cellStyle name="Normal 2 2 2 2 2 2 2 23 3 3 2 3 2" xfId="652"/>
    <cellStyle name="Normal 2 2 2 2 2 2 2 23 3 3 2 4" xfId="653"/>
    <cellStyle name="Normal 2 2 2 2 2 2 2 23 3 3 2 5" xfId="654"/>
    <cellStyle name="Normal 2 2 2 2 2 2 2 23 3 3 2 6" xfId="655"/>
    <cellStyle name="Normal 2 2 2 2 2 2 2 23 3 3 2 7" xfId="656"/>
    <cellStyle name="Normal 2 2 2 2 2 2 2 23 3 3 2 8" xfId="657"/>
    <cellStyle name="Normal 2 2 2 2 2 2 2 23 3 3 2 9" xfId="658"/>
    <cellStyle name="Normal 2 2 2 2 2 2 2 23 3 3 3" xfId="659"/>
    <cellStyle name="Normal 2 2 2 2 2 2 2 23 3 3 3 2" xfId="660"/>
    <cellStyle name="Normal 2 2 2 2 2 2 2 23 3 3 4" xfId="661"/>
    <cellStyle name="Normal 2 2 2 2 2 2 2 23 3 3 5" xfId="662"/>
    <cellStyle name="Normal 2 2 2 2 2 2 2 23 3 3 6" xfId="663"/>
    <cellStyle name="Normal 2 2 2 2 2 2 2 23 3 3 7" xfId="664"/>
    <cellStyle name="Normal 2 2 2 2 2 2 2 23 3 3 8" xfId="665"/>
    <cellStyle name="Normal 2 2 2 2 2 2 2 23 3 3 9" xfId="666"/>
    <cellStyle name="Normal 2 2 2 2 2 2 2 23 3 4" xfId="667"/>
    <cellStyle name="Normal 2 2 2 2 2 2 2 23 3 4 10" xfId="668"/>
    <cellStyle name="Normal 2 2 2 2 2 2 2 23 3 4 11" xfId="669"/>
    <cellStyle name="Normal 2 2 2 2 2 2 2 23 3 4 2" xfId="670"/>
    <cellStyle name="Normal 2 2 2 2 2 2 2 23 3 4 2 2" xfId="671"/>
    <cellStyle name="Normal 2 2 2 2 2 2 2 23 3 4 3" xfId="672"/>
    <cellStyle name="Normal 2 2 2 2 2 2 2 23 3 4 4" xfId="673"/>
    <cellStyle name="Normal 2 2 2 2 2 2 2 23 3 4 5" xfId="674"/>
    <cellStyle name="Normal 2 2 2 2 2 2 2 23 3 4 6" xfId="675"/>
    <cellStyle name="Normal 2 2 2 2 2 2 2 23 3 4 7" xfId="676"/>
    <cellStyle name="Normal 2 2 2 2 2 2 2 23 3 4 8" xfId="677"/>
    <cellStyle name="Normal 2 2 2 2 2 2 2 23 3 4 9" xfId="678"/>
    <cellStyle name="Normal 2 2 2 2 2 2 2 23 3 5" xfId="679"/>
    <cellStyle name="Normal 2 2 2 2 2 2 2 23 3 5 2" xfId="680"/>
    <cellStyle name="Normal 2 2 2 2 2 2 2 23 3 6" xfId="681"/>
    <cellStyle name="Normal 2 2 2 2 2 2 2 23 3 7" xfId="682"/>
    <cellStyle name="Normal 2 2 2 2 2 2 2 23 3 8" xfId="683"/>
    <cellStyle name="Normal 2 2 2 2 2 2 2 23 3 9" xfId="684"/>
    <cellStyle name="Normal 2 2 2 2 2 2 2 23 4" xfId="685"/>
    <cellStyle name="Normal 2 2 2 2 2 2 2 23 4 10" xfId="686"/>
    <cellStyle name="Normal 2 2 2 2 2 2 2 23 4 11" xfId="687"/>
    <cellStyle name="Normal 2 2 2 2 2 2 2 23 4 12" xfId="688"/>
    <cellStyle name="Normal 2 2 2 2 2 2 2 23 4 2" xfId="689"/>
    <cellStyle name="Normal 2 2 2 2 2 2 2 23 4 2 10" xfId="690"/>
    <cellStyle name="Normal 2 2 2 2 2 2 2 23 4 2 11" xfId="691"/>
    <cellStyle name="Normal 2 2 2 2 2 2 2 23 4 2 12" xfId="692"/>
    <cellStyle name="Normal 2 2 2 2 2 2 2 23 4 2 2" xfId="693"/>
    <cellStyle name="Normal 2 2 2 2 2 2 2 23 4 2 2 10" xfId="694"/>
    <cellStyle name="Normal 2 2 2 2 2 2 2 23 4 2 2 11" xfId="695"/>
    <cellStyle name="Normal 2 2 2 2 2 2 2 23 4 2 2 2" xfId="696"/>
    <cellStyle name="Normal 2 2 2 2 2 2 2 23 4 2 2 2 10" xfId="697"/>
    <cellStyle name="Normal 2 2 2 2 2 2 2 23 4 2 2 2 11" xfId="698"/>
    <cellStyle name="Normal 2 2 2 2 2 2 2 23 4 2 2 2 2" xfId="699"/>
    <cellStyle name="Normal 2 2 2 2 2 2 2 23 4 2 2 2 2 2" xfId="700"/>
    <cellStyle name="Normal 2 2 2 2 2 2 2 23 4 2 2 2 3" xfId="701"/>
    <cellStyle name="Normal 2 2 2 2 2 2 2 23 4 2 2 2 4" xfId="702"/>
    <cellStyle name="Normal 2 2 2 2 2 2 2 23 4 2 2 2 5" xfId="703"/>
    <cellStyle name="Normal 2 2 2 2 2 2 2 23 4 2 2 2 6" xfId="704"/>
    <cellStyle name="Normal 2 2 2 2 2 2 2 23 4 2 2 2 7" xfId="705"/>
    <cellStyle name="Normal 2 2 2 2 2 2 2 23 4 2 2 2 8" xfId="706"/>
    <cellStyle name="Normal 2 2 2 2 2 2 2 23 4 2 2 2 9" xfId="707"/>
    <cellStyle name="Normal 2 2 2 2 2 2 2 23 4 2 2 3" xfId="708"/>
    <cellStyle name="Normal 2 2 2 2 2 2 2 23 4 2 2 3 2" xfId="709"/>
    <cellStyle name="Normal 2 2 2 2 2 2 2 23 4 2 2 4" xfId="710"/>
    <cellStyle name="Normal 2 2 2 2 2 2 2 23 4 2 2 5" xfId="711"/>
    <cellStyle name="Normal 2 2 2 2 2 2 2 23 4 2 2 6" xfId="712"/>
    <cellStyle name="Normal 2 2 2 2 2 2 2 23 4 2 2 7" xfId="713"/>
    <cellStyle name="Normal 2 2 2 2 2 2 2 23 4 2 2 8" xfId="714"/>
    <cellStyle name="Normal 2 2 2 2 2 2 2 23 4 2 2 9" xfId="715"/>
    <cellStyle name="Normal 2 2 2 2 2 2 2 23 4 2 3" xfId="716"/>
    <cellStyle name="Normal 2 2 2 2 2 2 2 23 4 2 3 2" xfId="717"/>
    <cellStyle name="Normal 2 2 2 2 2 2 2 23 4 2 4" xfId="718"/>
    <cellStyle name="Normal 2 2 2 2 2 2 2 23 4 2 5" xfId="719"/>
    <cellStyle name="Normal 2 2 2 2 2 2 2 23 4 2 6" xfId="720"/>
    <cellStyle name="Normal 2 2 2 2 2 2 2 23 4 2 7" xfId="721"/>
    <cellStyle name="Normal 2 2 2 2 2 2 2 23 4 2 8" xfId="722"/>
    <cellStyle name="Normal 2 2 2 2 2 2 2 23 4 2 9" xfId="723"/>
    <cellStyle name="Normal 2 2 2 2 2 2 2 23 4 3" xfId="724"/>
    <cellStyle name="Normal 2 2 2 2 2 2 2 23 4 3 10" xfId="725"/>
    <cellStyle name="Normal 2 2 2 2 2 2 2 23 4 3 11" xfId="726"/>
    <cellStyle name="Normal 2 2 2 2 2 2 2 23 4 3 2" xfId="727"/>
    <cellStyle name="Normal 2 2 2 2 2 2 2 23 4 3 2 2" xfId="728"/>
    <cellStyle name="Normal 2 2 2 2 2 2 2 23 4 3 3" xfId="729"/>
    <cellStyle name="Normal 2 2 2 2 2 2 2 23 4 3 4" xfId="730"/>
    <cellStyle name="Normal 2 2 2 2 2 2 2 23 4 3 5" xfId="731"/>
    <cellStyle name="Normal 2 2 2 2 2 2 2 23 4 3 6" xfId="732"/>
    <cellStyle name="Normal 2 2 2 2 2 2 2 23 4 3 7" xfId="733"/>
    <cellStyle name="Normal 2 2 2 2 2 2 2 23 4 3 8" xfId="734"/>
    <cellStyle name="Normal 2 2 2 2 2 2 2 23 4 3 9" xfId="735"/>
    <cellStyle name="Normal 2 2 2 2 2 2 2 23 4 4" xfId="736"/>
    <cellStyle name="Normal 2 2 2 2 2 2 2 23 4 4 2" xfId="737"/>
    <cellStyle name="Normal 2 2 2 2 2 2 2 23 4 5" xfId="738"/>
    <cellStyle name="Normal 2 2 2 2 2 2 2 23 4 6" xfId="739"/>
    <cellStyle name="Normal 2 2 2 2 2 2 2 23 4 7" xfId="740"/>
    <cellStyle name="Normal 2 2 2 2 2 2 2 23 4 8" xfId="741"/>
    <cellStyle name="Normal 2 2 2 2 2 2 2 23 4 9" xfId="742"/>
    <cellStyle name="Normal 2 2 2 2 2 2 2 23 5" xfId="743"/>
    <cellStyle name="Normal 2 2 2 2 2 2 2 23 5 10" xfId="744"/>
    <cellStyle name="Normal 2 2 2 2 2 2 2 23 5 11" xfId="745"/>
    <cellStyle name="Normal 2 2 2 2 2 2 2 23 5 2" xfId="746"/>
    <cellStyle name="Normal 2 2 2 2 2 2 2 23 5 2 10" xfId="747"/>
    <cellStyle name="Normal 2 2 2 2 2 2 2 23 5 2 11" xfId="748"/>
    <cellStyle name="Normal 2 2 2 2 2 2 2 23 5 2 2" xfId="749"/>
    <cellStyle name="Normal 2 2 2 2 2 2 2 23 5 2 2 2" xfId="750"/>
    <cellStyle name="Normal 2 2 2 2 2 2 2 23 5 2 3" xfId="751"/>
    <cellStyle name="Normal 2 2 2 2 2 2 2 23 5 2 4" xfId="752"/>
    <cellStyle name="Normal 2 2 2 2 2 2 2 23 5 2 5" xfId="753"/>
    <cellStyle name="Normal 2 2 2 2 2 2 2 23 5 2 6" xfId="754"/>
    <cellStyle name="Normal 2 2 2 2 2 2 2 23 5 2 7" xfId="755"/>
    <cellStyle name="Normal 2 2 2 2 2 2 2 23 5 2 8" xfId="756"/>
    <cellStyle name="Normal 2 2 2 2 2 2 2 23 5 2 9" xfId="757"/>
    <cellStyle name="Normal 2 2 2 2 2 2 2 23 5 3" xfId="758"/>
    <cellStyle name="Normal 2 2 2 2 2 2 2 23 5 3 2" xfId="759"/>
    <cellStyle name="Normal 2 2 2 2 2 2 2 23 5 4" xfId="760"/>
    <cellStyle name="Normal 2 2 2 2 2 2 2 23 5 5" xfId="761"/>
    <cellStyle name="Normal 2 2 2 2 2 2 2 23 5 6" xfId="762"/>
    <cellStyle name="Normal 2 2 2 2 2 2 2 23 5 7" xfId="763"/>
    <cellStyle name="Normal 2 2 2 2 2 2 2 23 5 8" xfId="764"/>
    <cellStyle name="Normal 2 2 2 2 2 2 2 23 5 9" xfId="765"/>
    <cellStyle name="Normal 2 2 2 2 2 2 2 23 6" xfId="766"/>
    <cellStyle name="Normal 2 2 2 2 2 2 2 23 6 2" xfId="767"/>
    <cellStyle name="Normal 2 2 2 2 2 2 2 23 7" xfId="768"/>
    <cellStyle name="Normal 2 2 2 2 2 2 2 23 8" xfId="769"/>
    <cellStyle name="Normal 2 2 2 2 2 2 2 23 9" xfId="770"/>
    <cellStyle name="Normal 2 2 2 2 2 2 2 24" xfId="771"/>
    <cellStyle name="Normal 2 2 2 2 2 2 2 24 10" xfId="772"/>
    <cellStyle name="Normal 2 2 2 2 2 2 2 24 11" xfId="773"/>
    <cellStyle name="Normal 2 2 2 2 2 2 2 24 12" xfId="774"/>
    <cellStyle name="Normal 2 2 2 2 2 2 2 24 13" xfId="775"/>
    <cellStyle name="Normal 2 2 2 2 2 2 2 24 14" xfId="776"/>
    <cellStyle name="Normal 2 2 2 2 2 2 2 24 2" xfId="777"/>
    <cellStyle name="Normal 2 2 2 2 2 2 2 24 2 10" xfId="778"/>
    <cellStyle name="Normal 2 2 2 2 2 2 2 24 2 11" xfId="779"/>
    <cellStyle name="Normal 2 2 2 2 2 2 2 24 2 12" xfId="780"/>
    <cellStyle name="Normal 2 2 2 2 2 2 2 24 2 13" xfId="781"/>
    <cellStyle name="Normal 2 2 2 2 2 2 2 24 2 2" xfId="782"/>
    <cellStyle name="Normal 2 2 2 2 2 2 2 24 2 2 10" xfId="783"/>
    <cellStyle name="Normal 2 2 2 2 2 2 2 24 2 2 11" xfId="784"/>
    <cellStyle name="Normal 2 2 2 2 2 2 2 24 2 2 12" xfId="785"/>
    <cellStyle name="Normal 2 2 2 2 2 2 2 24 2 2 13" xfId="786"/>
    <cellStyle name="Normal 2 2 2 2 2 2 2 24 2 2 2" xfId="787"/>
    <cellStyle name="Normal 2 2 2 2 2 2 2 24 2 2 2 10" xfId="788"/>
    <cellStyle name="Normal 2 2 2 2 2 2 2 24 2 2 2 11" xfId="789"/>
    <cellStyle name="Normal 2 2 2 2 2 2 2 24 2 2 2 12" xfId="790"/>
    <cellStyle name="Normal 2 2 2 2 2 2 2 24 2 2 2 2" xfId="791"/>
    <cellStyle name="Normal 2 2 2 2 2 2 2 24 2 2 2 2 10" xfId="792"/>
    <cellStyle name="Normal 2 2 2 2 2 2 2 24 2 2 2 2 11" xfId="793"/>
    <cellStyle name="Normal 2 2 2 2 2 2 2 24 2 2 2 2 12" xfId="794"/>
    <cellStyle name="Normal 2 2 2 2 2 2 2 24 2 2 2 2 2" xfId="795"/>
    <cellStyle name="Normal 2 2 2 2 2 2 2 24 2 2 2 2 2 10" xfId="796"/>
    <cellStyle name="Normal 2 2 2 2 2 2 2 24 2 2 2 2 2 11" xfId="797"/>
    <cellStyle name="Normal 2 2 2 2 2 2 2 24 2 2 2 2 2 2" xfId="798"/>
    <cellStyle name="Normal 2 2 2 2 2 2 2 24 2 2 2 2 2 2 10" xfId="799"/>
    <cellStyle name="Normal 2 2 2 2 2 2 2 24 2 2 2 2 2 2 11" xfId="800"/>
    <cellStyle name="Normal 2 2 2 2 2 2 2 24 2 2 2 2 2 2 2" xfId="801"/>
    <cellStyle name="Normal 2 2 2 2 2 2 2 24 2 2 2 2 2 2 2 2" xfId="802"/>
    <cellStyle name="Normal 2 2 2 2 2 2 2 24 2 2 2 2 2 2 3" xfId="803"/>
    <cellStyle name="Normal 2 2 2 2 2 2 2 24 2 2 2 2 2 2 4" xfId="804"/>
    <cellStyle name="Normal 2 2 2 2 2 2 2 24 2 2 2 2 2 2 5" xfId="805"/>
    <cellStyle name="Normal 2 2 2 2 2 2 2 24 2 2 2 2 2 2 6" xfId="806"/>
    <cellStyle name="Normal 2 2 2 2 2 2 2 24 2 2 2 2 2 2 7" xfId="807"/>
    <cellStyle name="Normal 2 2 2 2 2 2 2 24 2 2 2 2 2 2 8" xfId="808"/>
    <cellStyle name="Normal 2 2 2 2 2 2 2 24 2 2 2 2 2 2 9" xfId="809"/>
    <cellStyle name="Normal 2 2 2 2 2 2 2 24 2 2 2 2 2 3" xfId="810"/>
    <cellStyle name="Normal 2 2 2 2 2 2 2 24 2 2 2 2 2 3 2" xfId="811"/>
    <cellStyle name="Normal 2 2 2 2 2 2 2 24 2 2 2 2 2 4" xfId="812"/>
    <cellStyle name="Normal 2 2 2 2 2 2 2 24 2 2 2 2 2 5" xfId="813"/>
    <cellStyle name="Normal 2 2 2 2 2 2 2 24 2 2 2 2 2 6" xfId="814"/>
    <cellStyle name="Normal 2 2 2 2 2 2 2 24 2 2 2 2 2 7" xfId="815"/>
    <cellStyle name="Normal 2 2 2 2 2 2 2 24 2 2 2 2 2 8" xfId="816"/>
    <cellStyle name="Normal 2 2 2 2 2 2 2 24 2 2 2 2 2 9" xfId="817"/>
    <cellStyle name="Normal 2 2 2 2 2 2 2 24 2 2 2 2 3" xfId="818"/>
    <cellStyle name="Normal 2 2 2 2 2 2 2 24 2 2 2 2 3 2" xfId="819"/>
    <cellStyle name="Normal 2 2 2 2 2 2 2 24 2 2 2 2 4" xfId="820"/>
    <cellStyle name="Normal 2 2 2 2 2 2 2 24 2 2 2 2 5" xfId="821"/>
    <cellStyle name="Normal 2 2 2 2 2 2 2 24 2 2 2 2 6" xfId="822"/>
    <cellStyle name="Normal 2 2 2 2 2 2 2 24 2 2 2 2 7" xfId="823"/>
    <cellStyle name="Normal 2 2 2 2 2 2 2 24 2 2 2 2 8" xfId="824"/>
    <cellStyle name="Normal 2 2 2 2 2 2 2 24 2 2 2 2 9" xfId="825"/>
    <cellStyle name="Normal 2 2 2 2 2 2 2 24 2 2 2 3" xfId="826"/>
    <cellStyle name="Normal 2 2 2 2 2 2 2 24 2 2 2 3 10" xfId="827"/>
    <cellStyle name="Normal 2 2 2 2 2 2 2 24 2 2 2 3 11" xfId="828"/>
    <cellStyle name="Normal 2 2 2 2 2 2 2 24 2 2 2 3 2" xfId="829"/>
    <cellStyle name="Normal 2 2 2 2 2 2 2 24 2 2 2 3 2 2" xfId="830"/>
    <cellStyle name="Normal 2 2 2 2 2 2 2 24 2 2 2 3 3" xfId="831"/>
    <cellStyle name="Normal 2 2 2 2 2 2 2 24 2 2 2 3 4" xfId="832"/>
    <cellStyle name="Normal 2 2 2 2 2 2 2 24 2 2 2 3 5" xfId="833"/>
    <cellStyle name="Normal 2 2 2 2 2 2 2 24 2 2 2 3 6" xfId="834"/>
    <cellStyle name="Normal 2 2 2 2 2 2 2 24 2 2 2 3 7" xfId="835"/>
    <cellStyle name="Normal 2 2 2 2 2 2 2 24 2 2 2 3 8" xfId="836"/>
    <cellStyle name="Normal 2 2 2 2 2 2 2 24 2 2 2 3 9" xfId="837"/>
    <cellStyle name="Normal 2 2 2 2 2 2 2 24 2 2 2 4" xfId="838"/>
    <cellStyle name="Normal 2 2 2 2 2 2 2 24 2 2 2 4 2" xfId="839"/>
    <cellStyle name="Normal 2 2 2 2 2 2 2 24 2 2 2 5" xfId="840"/>
    <cellStyle name="Normal 2 2 2 2 2 2 2 24 2 2 2 6" xfId="841"/>
    <cellStyle name="Normal 2 2 2 2 2 2 2 24 2 2 2 7" xfId="842"/>
    <cellStyle name="Normal 2 2 2 2 2 2 2 24 2 2 2 8" xfId="843"/>
    <cellStyle name="Normal 2 2 2 2 2 2 2 24 2 2 2 9" xfId="844"/>
    <cellStyle name="Normal 2 2 2 2 2 2 2 24 2 2 3" xfId="845"/>
    <cellStyle name="Normal 2 2 2 2 2 2 2 24 2 2 3 10" xfId="846"/>
    <cellStyle name="Normal 2 2 2 2 2 2 2 24 2 2 3 11" xfId="847"/>
    <cellStyle name="Normal 2 2 2 2 2 2 2 24 2 2 3 2" xfId="848"/>
    <cellStyle name="Normal 2 2 2 2 2 2 2 24 2 2 3 2 10" xfId="849"/>
    <cellStyle name="Normal 2 2 2 2 2 2 2 24 2 2 3 2 11" xfId="850"/>
    <cellStyle name="Normal 2 2 2 2 2 2 2 24 2 2 3 2 2" xfId="851"/>
    <cellStyle name="Normal 2 2 2 2 2 2 2 24 2 2 3 2 2 2" xfId="852"/>
    <cellStyle name="Normal 2 2 2 2 2 2 2 24 2 2 3 2 3" xfId="853"/>
    <cellStyle name="Normal 2 2 2 2 2 2 2 24 2 2 3 2 4" xfId="854"/>
    <cellStyle name="Normal 2 2 2 2 2 2 2 24 2 2 3 2 5" xfId="855"/>
    <cellStyle name="Normal 2 2 2 2 2 2 2 24 2 2 3 2 6" xfId="856"/>
    <cellStyle name="Normal 2 2 2 2 2 2 2 24 2 2 3 2 7" xfId="857"/>
    <cellStyle name="Normal 2 2 2 2 2 2 2 24 2 2 3 2 8" xfId="858"/>
    <cellStyle name="Normal 2 2 2 2 2 2 2 24 2 2 3 2 9" xfId="859"/>
    <cellStyle name="Normal 2 2 2 2 2 2 2 24 2 2 3 3" xfId="860"/>
    <cellStyle name="Normal 2 2 2 2 2 2 2 24 2 2 3 3 2" xfId="861"/>
    <cellStyle name="Normal 2 2 2 2 2 2 2 24 2 2 3 4" xfId="862"/>
    <cellStyle name="Normal 2 2 2 2 2 2 2 24 2 2 3 5" xfId="863"/>
    <cellStyle name="Normal 2 2 2 2 2 2 2 24 2 2 3 6" xfId="864"/>
    <cellStyle name="Normal 2 2 2 2 2 2 2 24 2 2 3 7" xfId="865"/>
    <cellStyle name="Normal 2 2 2 2 2 2 2 24 2 2 3 8" xfId="866"/>
    <cellStyle name="Normal 2 2 2 2 2 2 2 24 2 2 3 9" xfId="867"/>
    <cellStyle name="Normal 2 2 2 2 2 2 2 24 2 2 4" xfId="868"/>
    <cellStyle name="Normal 2 2 2 2 2 2 2 24 2 2 4 2" xfId="869"/>
    <cellStyle name="Normal 2 2 2 2 2 2 2 24 2 2 5" xfId="870"/>
    <cellStyle name="Normal 2 2 2 2 2 2 2 24 2 2 6" xfId="871"/>
    <cellStyle name="Normal 2 2 2 2 2 2 2 24 2 2 7" xfId="872"/>
    <cellStyle name="Normal 2 2 2 2 2 2 2 24 2 2 8" xfId="873"/>
    <cellStyle name="Normal 2 2 2 2 2 2 2 24 2 2 9" xfId="874"/>
    <cellStyle name="Normal 2 2 2 2 2 2 2 24 2 3" xfId="875"/>
    <cellStyle name="Normal 2 2 2 2 2 2 2 24 2 3 10" xfId="876"/>
    <cellStyle name="Normal 2 2 2 2 2 2 2 24 2 3 11" xfId="877"/>
    <cellStyle name="Normal 2 2 2 2 2 2 2 24 2 3 12" xfId="878"/>
    <cellStyle name="Normal 2 2 2 2 2 2 2 24 2 3 2" xfId="879"/>
    <cellStyle name="Normal 2 2 2 2 2 2 2 24 2 3 2 10" xfId="880"/>
    <cellStyle name="Normal 2 2 2 2 2 2 2 24 2 3 2 11" xfId="881"/>
    <cellStyle name="Normal 2 2 2 2 2 2 2 24 2 3 2 2" xfId="882"/>
    <cellStyle name="Normal 2 2 2 2 2 2 2 24 2 3 2 2 10" xfId="883"/>
    <cellStyle name="Normal 2 2 2 2 2 2 2 24 2 3 2 2 11" xfId="884"/>
    <cellStyle name="Normal 2 2 2 2 2 2 2 24 2 3 2 2 2" xfId="885"/>
    <cellStyle name="Normal 2 2 2 2 2 2 2 24 2 3 2 2 2 2" xfId="886"/>
    <cellStyle name="Normal 2 2 2 2 2 2 2 24 2 3 2 2 3" xfId="887"/>
    <cellStyle name="Normal 2 2 2 2 2 2 2 24 2 3 2 2 4" xfId="888"/>
    <cellStyle name="Normal 2 2 2 2 2 2 2 24 2 3 2 2 5" xfId="889"/>
    <cellStyle name="Normal 2 2 2 2 2 2 2 24 2 3 2 2 6" xfId="890"/>
    <cellStyle name="Normal 2 2 2 2 2 2 2 24 2 3 2 2 7" xfId="891"/>
    <cellStyle name="Normal 2 2 2 2 2 2 2 24 2 3 2 2 8" xfId="892"/>
    <cellStyle name="Normal 2 2 2 2 2 2 2 24 2 3 2 2 9" xfId="893"/>
    <cellStyle name="Normal 2 2 2 2 2 2 2 24 2 3 2 3" xfId="894"/>
    <cellStyle name="Normal 2 2 2 2 2 2 2 24 2 3 2 3 2" xfId="895"/>
    <cellStyle name="Normal 2 2 2 2 2 2 2 24 2 3 2 4" xfId="896"/>
    <cellStyle name="Normal 2 2 2 2 2 2 2 24 2 3 2 5" xfId="897"/>
    <cellStyle name="Normal 2 2 2 2 2 2 2 24 2 3 2 6" xfId="898"/>
    <cellStyle name="Normal 2 2 2 2 2 2 2 24 2 3 2 7" xfId="899"/>
    <cellStyle name="Normal 2 2 2 2 2 2 2 24 2 3 2 8" xfId="900"/>
    <cellStyle name="Normal 2 2 2 2 2 2 2 24 2 3 2 9" xfId="901"/>
    <cellStyle name="Normal 2 2 2 2 2 2 2 24 2 3 3" xfId="902"/>
    <cellStyle name="Normal 2 2 2 2 2 2 2 24 2 3 3 2" xfId="903"/>
    <cellStyle name="Normal 2 2 2 2 2 2 2 24 2 3 4" xfId="904"/>
    <cellStyle name="Normal 2 2 2 2 2 2 2 24 2 3 5" xfId="905"/>
    <cellStyle name="Normal 2 2 2 2 2 2 2 24 2 3 6" xfId="906"/>
    <cellStyle name="Normal 2 2 2 2 2 2 2 24 2 3 7" xfId="907"/>
    <cellStyle name="Normal 2 2 2 2 2 2 2 24 2 3 8" xfId="908"/>
    <cellStyle name="Normal 2 2 2 2 2 2 2 24 2 3 9" xfId="909"/>
    <cellStyle name="Normal 2 2 2 2 2 2 2 24 2 4" xfId="910"/>
    <cellStyle name="Normal 2 2 2 2 2 2 2 24 2 4 10" xfId="911"/>
    <cellStyle name="Normal 2 2 2 2 2 2 2 24 2 4 11" xfId="912"/>
    <cellStyle name="Normal 2 2 2 2 2 2 2 24 2 4 2" xfId="913"/>
    <cellStyle name="Normal 2 2 2 2 2 2 2 24 2 4 2 2" xfId="914"/>
    <cellStyle name="Normal 2 2 2 2 2 2 2 24 2 4 3" xfId="915"/>
    <cellStyle name="Normal 2 2 2 2 2 2 2 24 2 4 4" xfId="916"/>
    <cellStyle name="Normal 2 2 2 2 2 2 2 24 2 4 5" xfId="917"/>
    <cellStyle name="Normal 2 2 2 2 2 2 2 24 2 4 6" xfId="918"/>
    <cellStyle name="Normal 2 2 2 2 2 2 2 24 2 4 7" xfId="919"/>
    <cellStyle name="Normal 2 2 2 2 2 2 2 24 2 4 8" xfId="920"/>
    <cellStyle name="Normal 2 2 2 2 2 2 2 24 2 4 9" xfId="921"/>
    <cellStyle name="Normal 2 2 2 2 2 2 2 24 2 5" xfId="922"/>
    <cellStyle name="Normal 2 2 2 2 2 2 2 24 2 5 2" xfId="923"/>
    <cellStyle name="Normal 2 2 2 2 2 2 2 24 2 6" xfId="924"/>
    <cellStyle name="Normal 2 2 2 2 2 2 2 24 2 7" xfId="925"/>
    <cellStyle name="Normal 2 2 2 2 2 2 2 24 2 8" xfId="926"/>
    <cellStyle name="Normal 2 2 2 2 2 2 2 24 2 9" xfId="927"/>
    <cellStyle name="Normal 2 2 2 2 2 2 2 24 3" xfId="928"/>
    <cellStyle name="Normal 2 2 2 2 2 2 2 24 3 10" xfId="929"/>
    <cellStyle name="Normal 2 2 2 2 2 2 2 24 3 11" xfId="930"/>
    <cellStyle name="Normal 2 2 2 2 2 2 2 24 3 12" xfId="931"/>
    <cellStyle name="Normal 2 2 2 2 2 2 2 24 3 2" xfId="932"/>
    <cellStyle name="Normal 2 2 2 2 2 2 2 24 3 2 10" xfId="933"/>
    <cellStyle name="Normal 2 2 2 2 2 2 2 24 3 2 11" xfId="934"/>
    <cellStyle name="Normal 2 2 2 2 2 2 2 24 3 2 12" xfId="935"/>
    <cellStyle name="Normal 2 2 2 2 2 2 2 24 3 2 2" xfId="936"/>
    <cellStyle name="Normal 2 2 2 2 2 2 2 24 3 2 2 10" xfId="937"/>
    <cellStyle name="Normal 2 2 2 2 2 2 2 24 3 2 2 11" xfId="938"/>
    <cellStyle name="Normal 2 2 2 2 2 2 2 24 3 2 2 2" xfId="939"/>
    <cellStyle name="Normal 2 2 2 2 2 2 2 24 3 2 2 2 10" xfId="940"/>
    <cellStyle name="Normal 2 2 2 2 2 2 2 24 3 2 2 2 11" xfId="941"/>
    <cellStyle name="Normal 2 2 2 2 2 2 2 24 3 2 2 2 2" xfId="942"/>
    <cellStyle name="Normal 2 2 2 2 2 2 2 24 3 2 2 2 2 2" xfId="943"/>
    <cellStyle name="Normal 2 2 2 2 2 2 2 24 3 2 2 2 3" xfId="944"/>
    <cellStyle name="Normal 2 2 2 2 2 2 2 24 3 2 2 2 4" xfId="945"/>
    <cellStyle name="Normal 2 2 2 2 2 2 2 24 3 2 2 2 5" xfId="946"/>
    <cellStyle name="Normal 2 2 2 2 2 2 2 24 3 2 2 2 6" xfId="947"/>
    <cellStyle name="Normal 2 2 2 2 2 2 2 24 3 2 2 2 7" xfId="948"/>
    <cellStyle name="Normal 2 2 2 2 2 2 2 24 3 2 2 2 8" xfId="949"/>
    <cellStyle name="Normal 2 2 2 2 2 2 2 24 3 2 2 2 9" xfId="950"/>
    <cellStyle name="Normal 2 2 2 2 2 2 2 24 3 2 2 3" xfId="951"/>
    <cellStyle name="Normal 2 2 2 2 2 2 2 24 3 2 2 3 2" xfId="952"/>
    <cellStyle name="Normal 2 2 2 2 2 2 2 24 3 2 2 4" xfId="953"/>
    <cellStyle name="Normal 2 2 2 2 2 2 2 24 3 2 2 5" xfId="954"/>
    <cellStyle name="Normal 2 2 2 2 2 2 2 24 3 2 2 6" xfId="955"/>
    <cellStyle name="Normal 2 2 2 2 2 2 2 24 3 2 2 7" xfId="956"/>
    <cellStyle name="Normal 2 2 2 2 2 2 2 24 3 2 2 8" xfId="957"/>
    <cellStyle name="Normal 2 2 2 2 2 2 2 24 3 2 2 9" xfId="958"/>
    <cellStyle name="Normal 2 2 2 2 2 2 2 24 3 2 3" xfId="959"/>
    <cellStyle name="Normal 2 2 2 2 2 2 2 24 3 2 3 2" xfId="960"/>
    <cellStyle name="Normal 2 2 2 2 2 2 2 24 3 2 4" xfId="961"/>
    <cellStyle name="Normal 2 2 2 2 2 2 2 24 3 2 5" xfId="962"/>
    <cellStyle name="Normal 2 2 2 2 2 2 2 24 3 2 6" xfId="963"/>
    <cellStyle name="Normal 2 2 2 2 2 2 2 24 3 2 7" xfId="964"/>
    <cellStyle name="Normal 2 2 2 2 2 2 2 24 3 2 8" xfId="965"/>
    <cellStyle name="Normal 2 2 2 2 2 2 2 24 3 2 9" xfId="966"/>
    <cellStyle name="Normal 2 2 2 2 2 2 2 24 3 3" xfId="967"/>
    <cellStyle name="Normal 2 2 2 2 2 2 2 24 3 3 10" xfId="968"/>
    <cellStyle name="Normal 2 2 2 2 2 2 2 24 3 3 11" xfId="969"/>
    <cellStyle name="Normal 2 2 2 2 2 2 2 24 3 3 2" xfId="970"/>
    <cellStyle name="Normal 2 2 2 2 2 2 2 24 3 3 2 2" xfId="971"/>
    <cellStyle name="Normal 2 2 2 2 2 2 2 24 3 3 3" xfId="972"/>
    <cellStyle name="Normal 2 2 2 2 2 2 2 24 3 3 4" xfId="973"/>
    <cellStyle name="Normal 2 2 2 2 2 2 2 24 3 3 5" xfId="974"/>
    <cellStyle name="Normal 2 2 2 2 2 2 2 24 3 3 6" xfId="975"/>
    <cellStyle name="Normal 2 2 2 2 2 2 2 24 3 3 7" xfId="976"/>
    <cellStyle name="Normal 2 2 2 2 2 2 2 24 3 3 8" xfId="977"/>
    <cellStyle name="Normal 2 2 2 2 2 2 2 24 3 3 9" xfId="978"/>
    <cellStyle name="Normal 2 2 2 2 2 2 2 24 3 4" xfId="979"/>
    <cellStyle name="Normal 2 2 2 2 2 2 2 24 3 4 2" xfId="980"/>
    <cellStyle name="Normal 2 2 2 2 2 2 2 24 3 5" xfId="981"/>
    <cellStyle name="Normal 2 2 2 2 2 2 2 24 3 6" xfId="982"/>
    <cellStyle name="Normal 2 2 2 2 2 2 2 24 3 7" xfId="983"/>
    <cellStyle name="Normal 2 2 2 2 2 2 2 24 3 8" xfId="984"/>
    <cellStyle name="Normal 2 2 2 2 2 2 2 24 3 9" xfId="985"/>
    <cellStyle name="Normal 2 2 2 2 2 2 2 24 4" xfId="986"/>
    <cellStyle name="Normal 2 2 2 2 2 2 2 24 4 10" xfId="987"/>
    <cellStyle name="Normal 2 2 2 2 2 2 2 24 4 11" xfId="988"/>
    <cellStyle name="Normal 2 2 2 2 2 2 2 24 4 2" xfId="989"/>
    <cellStyle name="Normal 2 2 2 2 2 2 2 24 4 2 10" xfId="990"/>
    <cellStyle name="Normal 2 2 2 2 2 2 2 24 4 2 11" xfId="991"/>
    <cellStyle name="Normal 2 2 2 2 2 2 2 24 4 2 2" xfId="992"/>
    <cellStyle name="Normal 2 2 2 2 2 2 2 24 4 2 2 2" xfId="993"/>
    <cellStyle name="Normal 2 2 2 2 2 2 2 24 4 2 3" xfId="994"/>
    <cellStyle name="Normal 2 2 2 2 2 2 2 24 4 2 4" xfId="995"/>
    <cellStyle name="Normal 2 2 2 2 2 2 2 24 4 2 5" xfId="996"/>
    <cellStyle name="Normal 2 2 2 2 2 2 2 24 4 2 6" xfId="997"/>
    <cellStyle name="Normal 2 2 2 2 2 2 2 24 4 2 7" xfId="998"/>
    <cellStyle name="Normal 2 2 2 2 2 2 2 24 4 2 8" xfId="999"/>
    <cellStyle name="Normal 2 2 2 2 2 2 2 24 4 2 9" xfId="1000"/>
    <cellStyle name="Normal 2 2 2 2 2 2 2 24 4 3" xfId="1001"/>
    <cellStyle name="Normal 2 2 2 2 2 2 2 24 4 3 2" xfId="1002"/>
    <cellStyle name="Normal 2 2 2 2 2 2 2 24 4 4" xfId="1003"/>
    <cellStyle name="Normal 2 2 2 2 2 2 2 24 4 5" xfId="1004"/>
    <cellStyle name="Normal 2 2 2 2 2 2 2 24 4 6" xfId="1005"/>
    <cellStyle name="Normal 2 2 2 2 2 2 2 24 4 7" xfId="1006"/>
    <cellStyle name="Normal 2 2 2 2 2 2 2 24 4 8" xfId="1007"/>
    <cellStyle name="Normal 2 2 2 2 2 2 2 24 4 9" xfId="1008"/>
    <cellStyle name="Normal 2 2 2 2 2 2 2 24 5" xfId="1009"/>
    <cellStyle name="Normal 2 2 2 2 2 2 2 24 5 2" xfId="1010"/>
    <cellStyle name="Normal 2 2 2 2 2 2 2 24 6" xfId="1011"/>
    <cellStyle name="Normal 2 2 2 2 2 2 2 24 7" xfId="1012"/>
    <cellStyle name="Normal 2 2 2 2 2 2 2 24 8" xfId="1013"/>
    <cellStyle name="Normal 2 2 2 2 2 2 2 24 9" xfId="1014"/>
    <cellStyle name="Normal 2 2 2 2 2 2 2 25" xfId="1015"/>
    <cellStyle name="Normal 2 2 2 2 2 2 2 25 10" xfId="1016"/>
    <cellStyle name="Normal 2 2 2 2 2 2 2 25 11" xfId="1017"/>
    <cellStyle name="Normal 2 2 2 2 2 2 2 25 12" xfId="1018"/>
    <cellStyle name="Normal 2 2 2 2 2 2 2 25 13" xfId="1019"/>
    <cellStyle name="Normal 2 2 2 2 2 2 2 25 2" xfId="1020"/>
    <cellStyle name="Normal 2 2 2 2 2 2 2 25 2 10" xfId="1021"/>
    <cellStyle name="Normal 2 2 2 2 2 2 2 25 2 11" xfId="1022"/>
    <cellStyle name="Normal 2 2 2 2 2 2 2 25 2 12" xfId="1023"/>
    <cellStyle name="Normal 2 2 2 2 2 2 2 25 2 2" xfId="1024"/>
    <cellStyle name="Normal 2 2 2 2 2 2 2 25 2 2 10" xfId="1025"/>
    <cellStyle name="Normal 2 2 2 2 2 2 2 25 2 2 11" xfId="1026"/>
    <cellStyle name="Normal 2 2 2 2 2 2 2 25 2 2 12" xfId="1027"/>
    <cellStyle name="Normal 2 2 2 2 2 2 2 25 2 2 2" xfId="1028"/>
    <cellStyle name="Normal 2 2 2 2 2 2 2 25 2 2 2 10" xfId="1029"/>
    <cellStyle name="Normal 2 2 2 2 2 2 2 25 2 2 2 11" xfId="1030"/>
    <cellStyle name="Normal 2 2 2 2 2 2 2 25 2 2 2 2" xfId="1031"/>
    <cellStyle name="Normal 2 2 2 2 2 2 2 25 2 2 2 2 10" xfId="1032"/>
    <cellStyle name="Normal 2 2 2 2 2 2 2 25 2 2 2 2 11" xfId="1033"/>
    <cellStyle name="Normal 2 2 2 2 2 2 2 25 2 2 2 2 2" xfId="1034"/>
    <cellStyle name="Normal 2 2 2 2 2 2 2 25 2 2 2 2 2 2" xfId="1035"/>
    <cellStyle name="Normal 2 2 2 2 2 2 2 25 2 2 2 2 3" xfId="1036"/>
    <cellStyle name="Normal 2 2 2 2 2 2 2 25 2 2 2 2 4" xfId="1037"/>
    <cellStyle name="Normal 2 2 2 2 2 2 2 25 2 2 2 2 5" xfId="1038"/>
    <cellStyle name="Normal 2 2 2 2 2 2 2 25 2 2 2 2 6" xfId="1039"/>
    <cellStyle name="Normal 2 2 2 2 2 2 2 25 2 2 2 2 7" xfId="1040"/>
    <cellStyle name="Normal 2 2 2 2 2 2 2 25 2 2 2 2 8" xfId="1041"/>
    <cellStyle name="Normal 2 2 2 2 2 2 2 25 2 2 2 2 9" xfId="1042"/>
    <cellStyle name="Normal 2 2 2 2 2 2 2 25 2 2 2 3" xfId="1043"/>
    <cellStyle name="Normal 2 2 2 2 2 2 2 25 2 2 2 3 2" xfId="1044"/>
    <cellStyle name="Normal 2 2 2 2 2 2 2 25 2 2 2 4" xfId="1045"/>
    <cellStyle name="Normal 2 2 2 2 2 2 2 25 2 2 2 5" xfId="1046"/>
    <cellStyle name="Normal 2 2 2 2 2 2 2 25 2 2 2 6" xfId="1047"/>
    <cellStyle name="Normal 2 2 2 2 2 2 2 25 2 2 2 7" xfId="1048"/>
    <cellStyle name="Normal 2 2 2 2 2 2 2 25 2 2 2 8" xfId="1049"/>
    <cellStyle name="Normal 2 2 2 2 2 2 2 25 2 2 2 9" xfId="1050"/>
    <cellStyle name="Normal 2 2 2 2 2 2 2 25 2 2 3" xfId="1051"/>
    <cellStyle name="Normal 2 2 2 2 2 2 2 25 2 2 3 2" xfId="1052"/>
    <cellStyle name="Normal 2 2 2 2 2 2 2 25 2 2 4" xfId="1053"/>
    <cellStyle name="Normal 2 2 2 2 2 2 2 25 2 2 5" xfId="1054"/>
    <cellStyle name="Normal 2 2 2 2 2 2 2 25 2 2 6" xfId="1055"/>
    <cellStyle name="Normal 2 2 2 2 2 2 2 25 2 2 7" xfId="1056"/>
    <cellStyle name="Normal 2 2 2 2 2 2 2 25 2 2 8" xfId="1057"/>
    <cellStyle name="Normal 2 2 2 2 2 2 2 25 2 2 9" xfId="1058"/>
    <cellStyle name="Normal 2 2 2 2 2 2 2 25 2 3" xfId="1059"/>
    <cellStyle name="Normal 2 2 2 2 2 2 2 25 2 3 10" xfId="1060"/>
    <cellStyle name="Normal 2 2 2 2 2 2 2 25 2 3 11" xfId="1061"/>
    <cellStyle name="Normal 2 2 2 2 2 2 2 25 2 3 2" xfId="1062"/>
    <cellStyle name="Normal 2 2 2 2 2 2 2 25 2 3 2 2" xfId="1063"/>
    <cellStyle name="Normal 2 2 2 2 2 2 2 25 2 3 3" xfId="1064"/>
    <cellStyle name="Normal 2 2 2 2 2 2 2 25 2 3 4" xfId="1065"/>
    <cellStyle name="Normal 2 2 2 2 2 2 2 25 2 3 5" xfId="1066"/>
    <cellStyle name="Normal 2 2 2 2 2 2 2 25 2 3 6" xfId="1067"/>
    <cellStyle name="Normal 2 2 2 2 2 2 2 25 2 3 7" xfId="1068"/>
    <cellStyle name="Normal 2 2 2 2 2 2 2 25 2 3 8" xfId="1069"/>
    <cellStyle name="Normal 2 2 2 2 2 2 2 25 2 3 9" xfId="1070"/>
    <cellStyle name="Normal 2 2 2 2 2 2 2 25 2 4" xfId="1071"/>
    <cellStyle name="Normal 2 2 2 2 2 2 2 25 2 4 2" xfId="1072"/>
    <cellStyle name="Normal 2 2 2 2 2 2 2 25 2 5" xfId="1073"/>
    <cellStyle name="Normal 2 2 2 2 2 2 2 25 2 6" xfId="1074"/>
    <cellStyle name="Normal 2 2 2 2 2 2 2 25 2 7" xfId="1075"/>
    <cellStyle name="Normal 2 2 2 2 2 2 2 25 2 8" xfId="1076"/>
    <cellStyle name="Normal 2 2 2 2 2 2 2 25 2 9" xfId="1077"/>
    <cellStyle name="Normal 2 2 2 2 2 2 2 25 3" xfId="1078"/>
    <cellStyle name="Normal 2 2 2 2 2 2 2 25 3 10" xfId="1079"/>
    <cellStyle name="Normal 2 2 2 2 2 2 2 25 3 11" xfId="1080"/>
    <cellStyle name="Normal 2 2 2 2 2 2 2 25 3 2" xfId="1081"/>
    <cellStyle name="Normal 2 2 2 2 2 2 2 25 3 2 10" xfId="1082"/>
    <cellStyle name="Normal 2 2 2 2 2 2 2 25 3 2 11" xfId="1083"/>
    <cellStyle name="Normal 2 2 2 2 2 2 2 25 3 2 2" xfId="1084"/>
    <cellStyle name="Normal 2 2 2 2 2 2 2 25 3 2 2 2" xfId="1085"/>
    <cellStyle name="Normal 2 2 2 2 2 2 2 25 3 2 3" xfId="1086"/>
    <cellStyle name="Normal 2 2 2 2 2 2 2 25 3 2 4" xfId="1087"/>
    <cellStyle name="Normal 2 2 2 2 2 2 2 25 3 2 5" xfId="1088"/>
    <cellStyle name="Normal 2 2 2 2 2 2 2 25 3 2 6" xfId="1089"/>
    <cellStyle name="Normal 2 2 2 2 2 2 2 25 3 2 7" xfId="1090"/>
    <cellStyle name="Normal 2 2 2 2 2 2 2 25 3 2 8" xfId="1091"/>
    <cellStyle name="Normal 2 2 2 2 2 2 2 25 3 2 9" xfId="1092"/>
    <cellStyle name="Normal 2 2 2 2 2 2 2 25 3 3" xfId="1093"/>
    <cellStyle name="Normal 2 2 2 2 2 2 2 25 3 3 2" xfId="1094"/>
    <cellStyle name="Normal 2 2 2 2 2 2 2 25 3 4" xfId="1095"/>
    <cellStyle name="Normal 2 2 2 2 2 2 2 25 3 5" xfId="1096"/>
    <cellStyle name="Normal 2 2 2 2 2 2 2 25 3 6" xfId="1097"/>
    <cellStyle name="Normal 2 2 2 2 2 2 2 25 3 7" xfId="1098"/>
    <cellStyle name="Normal 2 2 2 2 2 2 2 25 3 8" xfId="1099"/>
    <cellStyle name="Normal 2 2 2 2 2 2 2 25 3 9" xfId="1100"/>
    <cellStyle name="Normal 2 2 2 2 2 2 2 25 4" xfId="1101"/>
    <cellStyle name="Normal 2 2 2 2 2 2 2 25 4 2" xfId="1102"/>
    <cellStyle name="Normal 2 2 2 2 2 2 2 25 5" xfId="1103"/>
    <cellStyle name="Normal 2 2 2 2 2 2 2 25 6" xfId="1104"/>
    <cellStyle name="Normal 2 2 2 2 2 2 2 25 7" xfId="1105"/>
    <cellStyle name="Normal 2 2 2 2 2 2 2 25 8" xfId="1106"/>
    <cellStyle name="Normal 2 2 2 2 2 2 2 25 9" xfId="1107"/>
    <cellStyle name="Normal 2 2 2 2 2 2 2 26" xfId="1108"/>
    <cellStyle name="Normal 2 2 2 2 2 2 2 26 10" xfId="1109"/>
    <cellStyle name="Normal 2 2 2 2 2 2 2 26 11" xfId="1110"/>
    <cellStyle name="Normal 2 2 2 2 2 2 2 26 12" xfId="1111"/>
    <cellStyle name="Normal 2 2 2 2 2 2 2 26 2" xfId="1112"/>
    <cellStyle name="Normal 2 2 2 2 2 2 2 26 2 10" xfId="1113"/>
    <cellStyle name="Normal 2 2 2 2 2 2 2 26 2 11" xfId="1114"/>
    <cellStyle name="Normal 2 2 2 2 2 2 2 26 2 2" xfId="1115"/>
    <cellStyle name="Normal 2 2 2 2 2 2 2 26 2 2 10" xfId="1116"/>
    <cellStyle name="Normal 2 2 2 2 2 2 2 26 2 2 11" xfId="1117"/>
    <cellStyle name="Normal 2 2 2 2 2 2 2 26 2 2 2" xfId="1118"/>
    <cellStyle name="Normal 2 2 2 2 2 2 2 26 2 2 2 2" xfId="1119"/>
    <cellStyle name="Normal 2 2 2 2 2 2 2 26 2 2 3" xfId="1120"/>
    <cellStyle name="Normal 2 2 2 2 2 2 2 26 2 2 4" xfId="1121"/>
    <cellStyle name="Normal 2 2 2 2 2 2 2 26 2 2 5" xfId="1122"/>
    <cellStyle name="Normal 2 2 2 2 2 2 2 26 2 2 6" xfId="1123"/>
    <cellStyle name="Normal 2 2 2 2 2 2 2 26 2 2 7" xfId="1124"/>
    <cellStyle name="Normal 2 2 2 2 2 2 2 26 2 2 8" xfId="1125"/>
    <cellStyle name="Normal 2 2 2 2 2 2 2 26 2 2 9" xfId="1126"/>
    <cellStyle name="Normal 2 2 2 2 2 2 2 26 2 3" xfId="1127"/>
    <cellStyle name="Normal 2 2 2 2 2 2 2 26 2 3 2" xfId="1128"/>
    <cellStyle name="Normal 2 2 2 2 2 2 2 26 2 4" xfId="1129"/>
    <cellStyle name="Normal 2 2 2 2 2 2 2 26 2 5" xfId="1130"/>
    <cellStyle name="Normal 2 2 2 2 2 2 2 26 2 6" xfId="1131"/>
    <cellStyle name="Normal 2 2 2 2 2 2 2 26 2 7" xfId="1132"/>
    <cellStyle name="Normal 2 2 2 2 2 2 2 26 2 8" xfId="1133"/>
    <cellStyle name="Normal 2 2 2 2 2 2 2 26 2 9" xfId="1134"/>
    <cellStyle name="Normal 2 2 2 2 2 2 2 26 3" xfId="1135"/>
    <cellStyle name="Normal 2 2 2 2 2 2 2 26 3 2" xfId="1136"/>
    <cellStyle name="Normal 2 2 2 2 2 2 2 26 4" xfId="1137"/>
    <cellStyle name="Normal 2 2 2 2 2 2 2 26 5" xfId="1138"/>
    <cellStyle name="Normal 2 2 2 2 2 2 2 26 6" xfId="1139"/>
    <cellStyle name="Normal 2 2 2 2 2 2 2 26 7" xfId="1140"/>
    <cellStyle name="Normal 2 2 2 2 2 2 2 26 8" xfId="1141"/>
    <cellStyle name="Normal 2 2 2 2 2 2 2 26 9" xfId="1142"/>
    <cellStyle name="Normal 2 2 2 2 2 2 2 27" xfId="1143"/>
    <cellStyle name="Normal 2 2 2 2 2 2 2 27 10" xfId="1144"/>
    <cellStyle name="Normal 2 2 2 2 2 2 2 27 11" xfId="1145"/>
    <cellStyle name="Normal 2 2 2 2 2 2 2 27 2" xfId="1146"/>
    <cellStyle name="Normal 2 2 2 2 2 2 2 27 2 2" xfId="1147"/>
    <cellStyle name="Normal 2 2 2 2 2 2 2 27 3" xfId="1148"/>
    <cellStyle name="Normal 2 2 2 2 2 2 2 27 4" xfId="1149"/>
    <cellStyle name="Normal 2 2 2 2 2 2 2 27 5" xfId="1150"/>
    <cellStyle name="Normal 2 2 2 2 2 2 2 27 6" xfId="1151"/>
    <cellStyle name="Normal 2 2 2 2 2 2 2 27 7" xfId="1152"/>
    <cellStyle name="Normal 2 2 2 2 2 2 2 27 8" xfId="1153"/>
    <cellStyle name="Normal 2 2 2 2 2 2 2 27 9" xfId="1154"/>
    <cellStyle name="Normal 2 2 2 2 2 2 2 28" xfId="1155"/>
    <cellStyle name="Normal 2 2 2 2 2 2 2 28 2" xfId="1156"/>
    <cellStyle name="Normal 2 2 2 2 2 2 2 29" xfId="1157"/>
    <cellStyle name="Normal 2 2 2 2 2 2 2 3" xfId="1158"/>
    <cellStyle name="Normal 2 2 2 2 2 2 2 30" xfId="1159"/>
    <cellStyle name="Normal 2 2 2 2 2 2 2 31" xfId="1160"/>
    <cellStyle name="Normal 2 2 2 2 2 2 2 32" xfId="1161"/>
    <cellStyle name="Normal 2 2 2 2 2 2 2 33" xfId="1162"/>
    <cellStyle name="Normal 2 2 2 2 2 2 2 34" xfId="1163"/>
    <cellStyle name="Normal 2 2 2 2 2 2 2 35" xfId="1164"/>
    <cellStyle name="Normal 2 2 2 2 2 2 2 36" xfId="1165"/>
    <cellStyle name="Normal 2 2 2 2 2 2 2 37" xfId="1166"/>
    <cellStyle name="Normal 2 2 2 2 2 2 2 37 2" xfId="1167"/>
    <cellStyle name="Normal 2 2 2 2 2 2 2 38" xfId="1168"/>
    <cellStyle name="Normal 2 2 2 2 2 2 2 39" xfId="1169"/>
    <cellStyle name="Normal 2 2 2 2 2 2 2 4" xfId="1170"/>
    <cellStyle name="Normal 2 2 2 2 2 2 2 4 2" xfId="1171"/>
    <cellStyle name="Normal 2 2 2 2 2 2 2 4 2 2" xfId="1172"/>
    <cellStyle name="Normal 2 2 2 2 2 2 2 40" xfId="1173"/>
    <cellStyle name="Normal 2 2 2 2 2 2 2 41" xfId="1174"/>
    <cellStyle name="Normal 2 2 2 2 2 2 2 41 2" xfId="1175"/>
    <cellStyle name="Normal 2 2 2 2 2 2 2 42" xfId="1176"/>
    <cellStyle name="Normal 2 2 2 2 2 2 2 43" xfId="1177"/>
    <cellStyle name="Normal 2 2 2 2 2 2 2 44" xfId="1178"/>
    <cellStyle name="Normal 2 2 2 2 2 2 2 5" xfId="1179"/>
    <cellStyle name="Normal 2 2 2 2 2 2 2 5 2" xfId="1180"/>
    <cellStyle name="Normal 2 2 2 2 2 2 2 6" xfId="1181"/>
    <cellStyle name="Normal 2 2 2 2 2 2 2 7" xfId="1182"/>
    <cellStyle name="Normal 2 2 2 2 2 2 2 8" xfId="1183"/>
    <cellStyle name="Normal 2 2 2 2 2 2 2 9" xfId="1184"/>
    <cellStyle name="Normal 2 2 2 2 2 2 20" xfId="1185"/>
    <cellStyle name="Normal 2 2 2 2 2 2 21" xfId="1186"/>
    <cellStyle name="Normal 2 2 2 2 2 2 22" xfId="1187"/>
    <cellStyle name="Normal 2 2 2 2 2 2 23" xfId="1188"/>
    <cellStyle name="Normal 2 2 2 2 2 2 23 10" xfId="1189"/>
    <cellStyle name="Normal 2 2 2 2 2 2 23 11" xfId="1190"/>
    <cellStyle name="Normal 2 2 2 2 2 2 23 12" xfId="1191"/>
    <cellStyle name="Normal 2 2 2 2 2 2 23 13" xfId="1192"/>
    <cellStyle name="Normal 2 2 2 2 2 2 23 14" xfId="1193"/>
    <cellStyle name="Normal 2 2 2 2 2 2 23 15" xfId="1194"/>
    <cellStyle name="Normal 2 2 2 2 2 2 23 2" xfId="1195"/>
    <cellStyle name="Normal 2 2 2 2 2 2 23 2 10" xfId="1196"/>
    <cellStyle name="Normal 2 2 2 2 2 2 23 2 11" xfId="1197"/>
    <cellStyle name="Normal 2 2 2 2 2 2 23 2 12" xfId="1198"/>
    <cellStyle name="Normal 2 2 2 2 2 2 23 2 13" xfId="1199"/>
    <cellStyle name="Normal 2 2 2 2 2 2 23 2 14" xfId="1200"/>
    <cellStyle name="Normal 2 2 2 2 2 2 23 2 2" xfId="1201"/>
    <cellStyle name="Normal 2 2 2 2 2 2 23 2 2 10" xfId="1202"/>
    <cellStyle name="Normal 2 2 2 2 2 2 23 2 2 11" xfId="1203"/>
    <cellStyle name="Normal 2 2 2 2 2 2 23 2 2 12" xfId="1204"/>
    <cellStyle name="Normal 2 2 2 2 2 2 23 2 2 13" xfId="1205"/>
    <cellStyle name="Normal 2 2 2 2 2 2 23 2 2 14" xfId="1206"/>
    <cellStyle name="Normal 2 2 2 2 2 2 23 2 2 2" xfId="1207"/>
    <cellStyle name="Normal 2 2 2 2 2 2 23 2 2 2 10" xfId="1208"/>
    <cellStyle name="Normal 2 2 2 2 2 2 23 2 2 2 11" xfId="1209"/>
    <cellStyle name="Normal 2 2 2 2 2 2 23 2 2 2 12" xfId="1210"/>
    <cellStyle name="Normal 2 2 2 2 2 2 23 2 2 2 13" xfId="1211"/>
    <cellStyle name="Normal 2 2 2 2 2 2 23 2 2 2 2" xfId="1212"/>
    <cellStyle name="Normal 2 2 2 2 2 2 23 2 2 2 2 10" xfId="1213"/>
    <cellStyle name="Normal 2 2 2 2 2 2 23 2 2 2 2 11" xfId="1214"/>
    <cellStyle name="Normal 2 2 2 2 2 2 23 2 2 2 2 12" xfId="1215"/>
    <cellStyle name="Normal 2 2 2 2 2 2 23 2 2 2 2 13" xfId="1216"/>
    <cellStyle name="Normal 2 2 2 2 2 2 23 2 2 2 2 2" xfId="1217"/>
    <cellStyle name="Normal 2 2 2 2 2 2 23 2 2 2 2 2 10" xfId="1218"/>
    <cellStyle name="Normal 2 2 2 2 2 2 23 2 2 2 2 2 11" xfId="1219"/>
    <cellStyle name="Normal 2 2 2 2 2 2 23 2 2 2 2 2 12" xfId="1220"/>
    <cellStyle name="Normal 2 2 2 2 2 2 23 2 2 2 2 2 2" xfId="1221"/>
    <cellStyle name="Normal 2 2 2 2 2 2 23 2 2 2 2 2 2 10" xfId="1222"/>
    <cellStyle name="Normal 2 2 2 2 2 2 23 2 2 2 2 2 2 11" xfId="1223"/>
    <cellStyle name="Normal 2 2 2 2 2 2 23 2 2 2 2 2 2 12" xfId="1224"/>
    <cellStyle name="Normal 2 2 2 2 2 2 23 2 2 2 2 2 2 2" xfId="1225"/>
    <cellStyle name="Normal 2 2 2 2 2 2 23 2 2 2 2 2 2 2 10" xfId="1226"/>
    <cellStyle name="Normal 2 2 2 2 2 2 23 2 2 2 2 2 2 2 11" xfId="1227"/>
    <cellStyle name="Normal 2 2 2 2 2 2 23 2 2 2 2 2 2 2 2" xfId="1228"/>
    <cellStyle name="Normal 2 2 2 2 2 2 23 2 2 2 2 2 2 2 2 10" xfId="1229"/>
    <cellStyle name="Normal 2 2 2 2 2 2 23 2 2 2 2 2 2 2 2 11" xfId="1230"/>
    <cellStyle name="Normal 2 2 2 2 2 2 23 2 2 2 2 2 2 2 2 2" xfId="1231"/>
    <cellStyle name="Normal 2 2 2 2 2 2 23 2 2 2 2 2 2 2 2 2 2" xfId="1232"/>
    <cellStyle name="Normal 2 2 2 2 2 2 23 2 2 2 2 2 2 2 2 3" xfId="1233"/>
    <cellStyle name="Normal 2 2 2 2 2 2 23 2 2 2 2 2 2 2 2 4" xfId="1234"/>
    <cellStyle name="Normal 2 2 2 2 2 2 23 2 2 2 2 2 2 2 2 5" xfId="1235"/>
    <cellStyle name="Normal 2 2 2 2 2 2 23 2 2 2 2 2 2 2 2 6" xfId="1236"/>
    <cellStyle name="Normal 2 2 2 2 2 2 23 2 2 2 2 2 2 2 2 7" xfId="1237"/>
    <cellStyle name="Normal 2 2 2 2 2 2 23 2 2 2 2 2 2 2 2 8" xfId="1238"/>
    <cellStyle name="Normal 2 2 2 2 2 2 23 2 2 2 2 2 2 2 2 9" xfId="1239"/>
    <cellStyle name="Normal 2 2 2 2 2 2 23 2 2 2 2 2 2 2 3" xfId="1240"/>
    <cellStyle name="Normal 2 2 2 2 2 2 23 2 2 2 2 2 2 2 3 2" xfId="1241"/>
    <cellStyle name="Normal 2 2 2 2 2 2 23 2 2 2 2 2 2 2 4" xfId="1242"/>
    <cellStyle name="Normal 2 2 2 2 2 2 23 2 2 2 2 2 2 2 5" xfId="1243"/>
    <cellStyle name="Normal 2 2 2 2 2 2 23 2 2 2 2 2 2 2 6" xfId="1244"/>
    <cellStyle name="Normal 2 2 2 2 2 2 23 2 2 2 2 2 2 2 7" xfId="1245"/>
    <cellStyle name="Normal 2 2 2 2 2 2 23 2 2 2 2 2 2 2 8" xfId="1246"/>
    <cellStyle name="Normal 2 2 2 2 2 2 23 2 2 2 2 2 2 2 9" xfId="1247"/>
    <cellStyle name="Normal 2 2 2 2 2 2 23 2 2 2 2 2 2 3" xfId="1248"/>
    <cellStyle name="Normal 2 2 2 2 2 2 23 2 2 2 2 2 2 3 2" xfId="1249"/>
    <cellStyle name="Normal 2 2 2 2 2 2 23 2 2 2 2 2 2 4" xfId="1250"/>
    <cellStyle name="Normal 2 2 2 2 2 2 23 2 2 2 2 2 2 5" xfId="1251"/>
    <cellStyle name="Normal 2 2 2 2 2 2 23 2 2 2 2 2 2 6" xfId="1252"/>
    <cellStyle name="Normal 2 2 2 2 2 2 23 2 2 2 2 2 2 7" xfId="1253"/>
    <cellStyle name="Normal 2 2 2 2 2 2 23 2 2 2 2 2 2 8" xfId="1254"/>
    <cellStyle name="Normal 2 2 2 2 2 2 23 2 2 2 2 2 2 9" xfId="1255"/>
    <cellStyle name="Normal 2 2 2 2 2 2 23 2 2 2 2 2 3" xfId="1256"/>
    <cellStyle name="Normal 2 2 2 2 2 2 23 2 2 2 2 2 3 10" xfId="1257"/>
    <cellStyle name="Normal 2 2 2 2 2 2 23 2 2 2 2 2 3 11" xfId="1258"/>
    <cellStyle name="Normal 2 2 2 2 2 2 23 2 2 2 2 2 3 2" xfId="1259"/>
    <cellStyle name="Normal 2 2 2 2 2 2 23 2 2 2 2 2 3 2 2" xfId="1260"/>
    <cellStyle name="Normal 2 2 2 2 2 2 23 2 2 2 2 2 3 3" xfId="1261"/>
    <cellStyle name="Normal 2 2 2 2 2 2 23 2 2 2 2 2 3 4" xfId="1262"/>
    <cellStyle name="Normal 2 2 2 2 2 2 23 2 2 2 2 2 3 5" xfId="1263"/>
    <cellStyle name="Normal 2 2 2 2 2 2 23 2 2 2 2 2 3 6" xfId="1264"/>
    <cellStyle name="Normal 2 2 2 2 2 2 23 2 2 2 2 2 3 7" xfId="1265"/>
    <cellStyle name="Normal 2 2 2 2 2 2 23 2 2 2 2 2 3 8" xfId="1266"/>
    <cellStyle name="Normal 2 2 2 2 2 2 23 2 2 2 2 2 3 9" xfId="1267"/>
    <cellStyle name="Normal 2 2 2 2 2 2 23 2 2 2 2 2 4" xfId="1268"/>
    <cellStyle name="Normal 2 2 2 2 2 2 23 2 2 2 2 2 4 2" xfId="1269"/>
    <cellStyle name="Normal 2 2 2 2 2 2 23 2 2 2 2 2 5" xfId="1270"/>
    <cellStyle name="Normal 2 2 2 2 2 2 23 2 2 2 2 2 6" xfId="1271"/>
    <cellStyle name="Normal 2 2 2 2 2 2 23 2 2 2 2 2 7" xfId="1272"/>
    <cellStyle name="Normal 2 2 2 2 2 2 23 2 2 2 2 2 8" xfId="1273"/>
    <cellStyle name="Normal 2 2 2 2 2 2 23 2 2 2 2 2 9" xfId="1274"/>
    <cellStyle name="Normal 2 2 2 2 2 2 23 2 2 2 2 3" xfId="1275"/>
    <cellStyle name="Normal 2 2 2 2 2 2 23 2 2 2 2 3 10" xfId="1276"/>
    <cellStyle name="Normal 2 2 2 2 2 2 23 2 2 2 2 3 11" xfId="1277"/>
    <cellStyle name="Normal 2 2 2 2 2 2 23 2 2 2 2 3 2" xfId="1278"/>
    <cellStyle name="Normal 2 2 2 2 2 2 23 2 2 2 2 3 2 10" xfId="1279"/>
    <cellStyle name="Normal 2 2 2 2 2 2 23 2 2 2 2 3 2 11" xfId="1280"/>
    <cellStyle name="Normal 2 2 2 2 2 2 23 2 2 2 2 3 2 2" xfId="1281"/>
    <cellStyle name="Normal 2 2 2 2 2 2 23 2 2 2 2 3 2 2 2" xfId="1282"/>
    <cellStyle name="Normal 2 2 2 2 2 2 23 2 2 2 2 3 2 3" xfId="1283"/>
    <cellStyle name="Normal 2 2 2 2 2 2 23 2 2 2 2 3 2 4" xfId="1284"/>
    <cellStyle name="Normal 2 2 2 2 2 2 23 2 2 2 2 3 2 5" xfId="1285"/>
    <cellStyle name="Normal 2 2 2 2 2 2 23 2 2 2 2 3 2 6" xfId="1286"/>
    <cellStyle name="Normal 2 2 2 2 2 2 23 2 2 2 2 3 2 7" xfId="1287"/>
    <cellStyle name="Normal 2 2 2 2 2 2 23 2 2 2 2 3 2 8" xfId="1288"/>
    <cellStyle name="Normal 2 2 2 2 2 2 23 2 2 2 2 3 2 9" xfId="1289"/>
    <cellStyle name="Normal 2 2 2 2 2 2 23 2 2 2 2 3 3" xfId="1290"/>
    <cellStyle name="Normal 2 2 2 2 2 2 23 2 2 2 2 3 3 2" xfId="1291"/>
    <cellStyle name="Normal 2 2 2 2 2 2 23 2 2 2 2 3 4" xfId="1292"/>
    <cellStyle name="Normal 2 2 2 2 2 2 23 2 2 2 2 3 5" xfId="1293"/>
    <cellStyle name="Normal 2 2 2 2 2 2 23 2 2 2 2 3 6" xfId="1294"/>
    <cellStyle name="Normal 2 2 2 2 2 2 23 2 2 2 2 3 7" xfId="1295"/>
    <cellStyle name="Normal 2 2 2 2 2 2 23 2 2 2 2 3 8" xfId="1296"/>
    <cellStyle name="Normal 2 2 2 2 2 2 23 2 2 2 2 3 9" xfId="1297"/>
    <cellStyle name="Normal 2 2 2 2 2 2 23 2 2 2 2 4" xfId="1298"/>
    <cellStyle name="Normal 2 2 2 2 2 2 23 2 2 2 2 4 2" xfId="1299"/>
    <cellStyle name="Normal 2 2 2 2 2 2 23 2 2 2 2 5" xfId="1300"/>
    <cellStyle name="Normal 2 2 2 2 2 2 23 2 2 2 2 6" xfId="1301"/>
    <cellStyle name="Normal 2 2 2 2 2 2 23 2 2 2 2 7" xfId="1302"/>
    <cellStyle name="Normal 2 2 2 2 2 2 23 2 2 2 2 8" xfId="1303"/>
    <cellStyle name="Normal 2 2 2 2 2 2 23 2 2 2 2 9" xfId="1304"/>
    <cellStyle name="Normal 2 2 2 2 2 2 23 2 2 2 3" xfId="1305"/>
    <cellStyle name="Normal 2 2 2 2 2 2 23 2 2 2 3 10" xfId="1306"/>
    <cellStyle name="Normal 2 2 2 2 2 2 23 2 2 2 3 11" xfId="1307"/>
    <cellStyle name="Normal 2 2 2 2 2 2 23 2 2 2 3 12" xfId="1308"/>
    <cellStyle name="Normal 2 2 2 2 2 2 23 2 2 2 3 2" xfId="1309"/>
    <cellStyle name="Normal 2 2 2 2 2 2 23 2 2 2 3 2 10" xfId="1310"/>
    <cellStyle name="Normal 2 2 2 2 2 2 23 2 2 2 3 2 11" xfId="1311"/>
    <cellStyle name="Normal 2 2 2 2 2 2 23 2 2 2 3 2 2" xfId="1312"/>
    <cellStyle name="Normal 2 2 2 2 2 2 23 2 2 2 3 2 2 10" xfId="1313"/>
    <cellStyle name="Normal 2 2 2 2 2 2 23 2 2 2 3 2 2 11" xfId="1314"/>
    <cellStyle name="Normal 2 2 2 2 2 2 23 2 2 2 3 2 2 2" xfId="1315"/>
    <cellStyle name="Normal 2 2 2 2 2 2 23 2 2 2 3 2 2 2 2" xfId="1316"/>
    <cellStyle name="Normal 2 2 2 2 2 2 23 2 2 2 3 2 2 3" xfId="1317"/>
    <cellStyle name="Normal 2 2 2 2 2 2 23 2 2 2 3 2 2 4" xfId="1318"/>
    <cellStyle name="Normal 2 2 2 2 2 2 23 2 2 2 3 2 2 5" xfId="1319"/>
    <cellStyle name="Normal 2 2 2 2 2 2 23 2 2 2 3 2 2 6" xfId="1320"/>
    <cellStyle name="Normal 2 2 2 2 2 2 23 2 2 2 3 2 2 7" xfId="1321"/>
    <cellStyle name="Normal 2 2 2 2 2 2 23 2 2 2 3 2 2 8" xfId="1322"/>
    <cellStyle name="Normal 2 2 2 2 2 2 23 2 2 2 3 2 2 9" xfId="1323"/>
    <cellStyle name="Normal 2 2 2 2 2 2 23 2 2 2 3 2 3" xfId="1324"/>
    <cellStyle name="Normal 2 2 2 2 2 2 23 2 2 2 3 2 3 2" xfId="1325"/>
    <cellStyle name="Normal 2 2 2 2 2 2 23 2 2 2 3 2 4" xfId="1326"/>
    <cellStyle name="Normal 2 2 2 2 2 2 23 2 2 2 3 2 5" xfId="1327"/>
    <cellStyle name="Normal 2 2 2 2 2 2 23 2 2 2 3 2 6" xfId="1328"/>
    <cellStyle name="Normal 2 2 2 2 2 2 23 2 2 2 3 2 7" xfId="1329"/>
    <cellStyle name="Normal 2 2 2 2 2 2 23 2 2 2 3 2 8" xfId="1330"/>
    <cellStyle name="Normal 2 2 2 2 2 2 23 2 2 2 3 2 9" xfId="1331"/>
    <cellStyle name="Normal 2 2 2 2 2 2 23 2 2 2 3 3" xfId="1332"/>
    <cellStyle name="Normal 2 2 2 2 2 2 23 2 2 2 3 3 2" xfId="1333"/>
    <cellStyle name="Normal 2 2 2 2 2 2 23 2 2 2 3 4" xfId="1334"/>
    <cellStyle name="Normal 2 2 2 2 2 2 23 2 2 2 3 5" xfId="1335"/>
    <cellStyle name="Normal 2 2 2 2 2 2 23 2 2 2 3 6" xfId="1336"/>
    <cellStyle name="Normal 2 2 2 2 2 2 23 2 2 2 3 7" xfId="1337"/>
    <cellStyle name="Normal 2 2 2 2 2 2 23 2 2 2 3 8" xfId="1338"/>
    <cellStyle name="Normal 2 2 2 2 2 2 23 2 2 2 3 9" xfId="1339"/>
    <cellStyle name="Normal 2 2 2 2 2 2 23 2 2 2 4" xfId="1340"/>
    <cellStyle name="Normal 2 2 2 2 2 2 23 2 2 2 4 10" xfId="1341"/>
    <cellStyle name="Normal 2 2 2 2 2 2 23 2 2 2 4 11" xfId="1342"/>
    <cellStyle name="Normal 2 2 2 2 2 2 23 2 2 2 4 2" xfId="1343"/>
    <cellStyle name="Normal 2 2 2 2 2 2 23 2 2 2 4 2 2" xfId="1344"/>
    <cellStyle name="Normal 2 2 2 2 2 2 23 2 2 2 4 3" xfId="1345"/>
    <cellStyle name="Normal 2 2 2 2 2 2 23 2 2 2 4 4" xfId="1346"/>
    <cellStyle name="Normal 2 2 2 2 2 2 23 2 2 2 4 5" xfId="1347"/>
    <cellStyle name="Normal 2 2 2 2 2 2 23 2 2 2 4 6" xfId="1348"/>
    <cellStyle name="Normal 2 2 2 2 2 2 23 2 2 2 4 7" xfId="1349"/>
    <cellStyle name="Normal 2 2 2 2 2 2 23 2 2 2 4 8" xfId="1350"/>
    <cellStyle name="Normal 2 2 2 2 2 2 23 2 2 2 4 9" xfId="1351"/>
    <cellStyle name="Normal 2 2 2 2 2 2 23 2 2 2 5" xfId="1352"/>
    <cellStyle name="Normal 2 2 2 2 2 2 23 2 2 2 5 2" xfId="1353"/>
    <cellStyle name="Normal 2 2 2 2 2 2 23 2 2 2 6" xfId="1354"/>
    <cellStyle name="Normal 2 2 2 2 2 2 23 2 2 2 7" xfId="1355"/>
    <cellStyle name="Normal 2 2 2 2 2 2 23 2 2 2 8" xfId="1356"/>
    <cellStyle name="Normal 2 2 2 2 2 2 23 2 2 2 9" xfId="1357"/>
    <cellStyle name="Normal 2 2 2 2 2 2 23 2 2 3" xfId="1358"/>
    <cellStyle name="Normal 2 2 2 2 2 2 23 2 2 3 10" xfId="1359"/>
    <cellStyle name="Normal 2 2 2 2 2 2 23 2 2 3 11" xfId="1360"/>
    <cellStyle name="Normal 2 2 2 2 2 2 23 2 2 3 12" xfId="1361"/>
    <cellStyle name="Normal 2 2 2 2 2 2 23 2 2 3 2" xfId="1362"/>
    <cellStyle name="Normal 2 2 2 2 2 2 23 2 2 3 2 10" xfId="1363"/>
    <cellStyle name="Normal 2 2 2 2 2 2 23 2 2 3 2 11" xfId="1364"/>
    <cellStyle name="Normal 2 2 2 2 2 2 23 2 2 3 2 12" xfId="1365"/>
    <cellStyle name="Normal 2 2 2 2 2 2 23 2 2 3 2 2" xfId="1366"/>
    <cellStyle name="Normal 2 2 2 2 2 2 23 2 2 3 2 2 10" xfId="1367"/>
    <cellStyle name="Normal 2 2 2 2 2 2 23 2 2 3 2 2 11" xfId="1368"/>
    <cellStyle name="Normal 2 2 2 2 2 2 23 2 2 3 2 2 2" xfId="1369"/>
    <cellStyle name="Normal 2 2 2 2 2 2 23 2 2 3 2 2 2 10" xfId="1370"/>
    <cellStyle name="Normal 2 2 2 2 2 2 23 2 2 3 2 2 2 11" xfId="1371"/>
    <cellStyle name="Normal 2 2 2 2 2 2 23 2 2 3 2 2 2 2" xfId="1372"/>
    <cellStyle name="Normal 2 2 2 2 2 2 23 2 2 3 2 2 2 2 2" xfId="1373"/>
    <cellStyle name="Normal 2 2 2 2 2 2 23 2 2 3 2 2 2 3" xfId="1374"/>
    <cellStyle name="Normal 2 2 2 2 2 2 23 2 2 3 2 2 2 4" xfId="1375"/>
    <cellStyle name="Normal 2 2 2 2 2 2 23 2 2 3 2 2 2 5" xfId="1376"/>
    <cellStyle name="Normal 2 2 2 2 2 2 23 2 2 3 2 2 2 6" xfId="1377"/>
    <cellStyle name="Normal 2 2 2 2 2 2 23 2 2 3 2 2 2 7" xfId="1378"/>
    <cellStyle name="Normal 2 2 2 2 2 2 23 2 2 3 2 2 2 8" xfId="1379"/>
    <cellStyle name="Normal 2 2 2 2 2 2 23 2 2 3 2 2 2 9" xfId="1380"/>
    <cellStyle name="Normal 2 2 2 2 2 2 23 2 2 3 2 2 3" xfId="1381"/>
    <cellStyle name="Normal 2 2 2 2 2 2 23 2 2 3 2 2 3 2" xfId="1382"/>
    <cellStyle name="Normal 2 2 2 2 2 2 23 2 2 3 2 2 4" xfId="1383"/>
    <cellStyle name="Normal 2 2 2 2 2 2 23 2 2 3 2 2 5" xfId="1384"/>
    <cellStyle name="Normal 2 2 2 2 2 2 23 2 2 3 2 2 6" xfId="1385"/>
    <cellStyle name="Normal 2 2 2 2 2 2 23 2 2 3 2 2 7" xfId="1386"/>
    <cellStyle name="Normal 2 2 2 2 2 2 23 2 2 3 2 2 8" xfId="1387"/>
    <cellStyle name="Normal 2 2 2 2 2 2 23 2 2 3 2 2 9" xfId="1388"/>
    <cellStyle name="Normal 2 2 2 2 2 2 23 2 2 3 2 3" xfId="1389"/>
    <cellStyle name="Normal 2 2 2 2 2 2 23 2 2 3 2 3 2" xfId="1390"/>
    <cellStyle name="Normal 2 2 2 2 2 2 23 2 2 3 2 4" xfId="1391"/>
    <cellStyle name="Normal 2 2 2 2 2 2 23 2 2 3 2 5" xfId="1392"/>
    <cellStyle name="Normal 2 2 2 2 2 2 23 2 2 3 2 6" xfId="1393"/>
    <cellStyle name="Normal 2 2 2 2 2 2 23 2 2 3 2 7" xfId="1394"/>
    <cellStyle name="Normal 2 2 2 2 2 2 23 2 2 3 2 8" xfId="1395"/>
    <cellStyle name="Normal 2 2 2 2 2 2 23 2 2 3 2 9" xfId="1396"/>
    <cellStyle name="Normal 2 2 2 2 2 2 23 2 2 3 3" xfId="1397"/>
    <cellStyle name="Normal 2 2 2 2 2 2 23 2 2 3 3 10" xfId="1398"/>
    <cellStyle name="Normal 2 2 2 2 2 2 23 2 2 3 3 11" xfId="1399"/>
    <cellStyle name="Normal 2 2 2 2 2 2 23 2 2 3 3 2" xfId="1400"/>
    <cellStyle name="Normal 2 2 2 2 2 2 23 2 2 3 3 2 2" xfId="1401"/>
    <cellStyle name="Normal 2 2 2 2 2 2 23 2 2 3 3 3" xfId="1402"/>
    <cellStyle name="Normal 2 2 2 2 2 2 23 2 2 3 3 4" xfId="1403"/>
    <cellStyle name="Normal 2 2 2 2 2 2 23 2 2 3 3 5" xfId="1404"/>
    <cellStyle name="Normal 2 2 2 2 2 2 23 2 2 3 3 6" xfId="1405"/>
    <cellStyle name="Normal 2 2 2 2 2 2 23 2 2 3 3 7" xfId="1406"/>
    <cellStyle name="Normal 2 2 2 2 2 2 23 2 2 3 3 8" xfId="1407"/>
    <cellStyle name="Normal 2 2 2 2 2 2 23 2 2 3 3 9" xfId="1408"/>
    <cellStyle name="Normal 2 2 2 2 2 2 23 2 2 3 4" xfId="1409"/>
    <cellStyle name="Normal 2 2 2 2 2 2 23 2 2 3 4 2" xfId="1410"/>
    <cellStyle name="Normal 2 2 2 2 2 2 23 2 2 3 5" xfId="1411"/>
    <cellStyle name="Normal 2 2 2 2 2 2 23 2 2 3 6" xfId="1412"/>
    <cellStyle name="Normal 2 2 2 2 2 2 23 2 2 3 7" xfId="1413"/>
    <cellStyle name="Normal 2 2 2 2 2 2 23 2 2 3 8" xfId="1414"/>
    <cellStyle name="Normal 2 2 2 2 2 2 23 2 2 3 9" xfId="1415"/>
    <cellStyle name="Normal 2 2 2 2 2 2 23 2 2 4" xfId="1416"/>
    <cellStyle name="Normal 2 2 2 2 2 2 23 2 2 4 10" xfId="1417"/>
    <cellStyle name="Normal 2 2 2 2 2 2 23 2 2 4 11" xfId="1418"/>
    <cellStyle name="Normal 2 2 2 2 2 2 23 2 2 4 2" xfId="1419"/>
    <cellStyle name="Normal 2 2 2 2 2 2 23 2 2 4 2 10" xfId="1420"/>
    <cellStyle name="Normal 2 2 2 2 2 2 23 2 2 4 2 11" xfId="1421"/>
    <cellStyle name="Normal 2 2 2 2 2 2 23 2 2 4 2 2" xfId="1422"/>
    <cellStyle name="Normal 2 2 2 2 2 2 23 2 2 4 2 2 2" xfId="1423"/>
    <cellStyle name="Normal 2 2 2 2 2 2 23 2 2 4 2 3" xfId="1424"/>
    <cellStyle name="Normal 2 2 2 2 2 2 23 2 2 4 2 4" xfId="1425"/>
    <cellStyle name="Normal 2 2 2 2 2 2 23 2 2 4 2 5" xfId="1426"/>
    <cellStyle name="Normal 2 2 2 2 2 2 23 2 2 4 2 6" xfId="1427"/>
    <cellStyle name="Normal 2 2 2 2 2 2 23 2 2 4 2 7" xfId="1428"/>
    <cellStyle name="Normal 2 2 2 2 2 2 23 2 2 4 2 8" xfId="1429"/>
    <cellStyle name="Normal 2 2 2 2 2 2 23 2 2 4 2 9" xfId="1430"/>
    <cellStyle name="Normal 2 2 2 2 2 2 23 2 2 4 3" xfId="1431"/>
    <cellStyle name="Normal 2 2 2 2 2 2 23 2 2 4 3 2" xfId="1432"/>
    <cellStyle name="Normal 2 2 2 2 2 2 23 2 2 4 4" xfId="1433"/>
    <cellStyle name="Normal 2 2 2 2 2 2 23 2 2 4 5" xfId="1434"/>
    <cellStyle name="Normal 2 2 2 2 2 2 23 2 2 4 6" xfId="1435"/>
    <cellStyle name="Normal 2 2 2 2 2 2 23 2 2 4 7" xfId="1436"/>
    <cellStyle name="Normal 2 2 2 2 2 2 23 2 2 4 8" xfId="1437"/>
    <cellStyle name="Normal 2 2 2 2 2 2 23 2 2 4 9" xfId="1438"/>
    <cellStyle name="Normal 2 2 2 2 2 2 23 2 2 5" xfId="1439"/>
    <cellStyle name="Normal 2 2 2 2 2 2 23 2 2 5 2" xfId="1440"/>
    <cellStyle name="Normal 2 2 2 2 2 2 23 2 2 6" xfId="1441"/>
    <cellStyle name="Normal 2 2 2 2 2 2 23 2 2 7" xfId="1442"/>
    <cellStyle name="Normal 2 2 2 2 2 2 23 2 2 8" xfId="1443"/>
    <cellStyle name="Normal 2 2 2 2 2 2 23 2 2 9" xfId="1444"/>
    <cellStyle name="Normal 2 2 2 2 2 2 23 2 3" xfId="1445"/>
    <cellStyle name="Normal 2 2 2 2 2 2 23 2 3 10" xfId="1446"/>
    <cellStyle name="Normal 2 2 2 2 2 2 23 2 3 11" xfId="1447"/>
    <cellStyle name="Normal 2 2 2 2 2 2 23 2 3 12" xfId="1448"/>
    <cellStyle name="Normal 2 2 2 2 2 2 23 2 3 13" xfId="1449"/>
    <cellStyle name="Normal 2 2 2 2 2 2 23 2 3 2" xfId="1450"/>
    <cellStyle name="Normal 2 2 2 2 2 2 23 2 3 2 10" xfId="1451"/>
    <cellStyle name="Normal 2 2 2 2 2 2 23 2 3 2 11" xfId="1452"/>
    <cellStyle name="Normal 2 2 2 2 2 2 23 2 3 2 12" xfId="1453"/>
    <cellStyle name="Normal 2 2 2 2 2 2 23 2 3 2 2" xfId="1454"/>
    <cellStyle name="Normal 2 2 2 2 2 2 23 2 3 2 2 10" xfId="1455"/>
    <cellStyle name="Normal 2 2 2 2 2 2 23 2 3 2 2 11" xfId="1456"/>
    <cellStyle name="Normal 2 2 2 2 2 2 23 2 3 2 2 12" xfId="1457"/>
    <cellStyle name="Normal 2 2 2 2 2 2 23 2 3 2 2 2" xfId="1458"/>
    <cellStyle name="Normal 2 2 2 2 2 2 23 2 3 2 2 2 10" xfId="1459"/>
    <cellStyle name="Normal 2 2 2 2 2 2 23 2 3 2 2 2 11" xfId="1460"/>
    <cellStyle name="Normal 2 2 2 2 2 2 23 2 3 2 2 2 2" xfId="1461"/>
    <cellStyle name="Normal 2 2 2 2 2 2 23 2 3 2 2 2 2 10" xfId="1462"/>
    <cellStyle name="Normal 2 2 2 2 2 2 23 2 3 2 2 2 2 11" xfId="1463"/>
    <cellStyle name="Normal 2 2 2 2 2 2 23 2 3 2 2 2 2 2" xfId="1464"/>
    <cellStyle name="Normal 2 2 2 2 2 2 23 2 3 2 2 2 2 2 2" xfId="1465"/>
    <cellStyle name="Normal 2 2 2 2 2 2 23 2 3 2 2 2 2 3" xfId="1466"/>
    <cellStyle name="Normal 2 2 2 2 2 2 23 2 3 2 2 2 2 4" xfId="1467"/>
    <cellStyle name="Normal 2 2 2 2 2 2 23 2 3 2 2 2 2 5" xfId="1468"/>
    <cellStyle name="Normal 2 2 2 2 2 2 23 2 3 2 2 2 2 6" xfId="1469"/>
    <cellStyle name="Normal 2 2 2 2 2 2 23 2 3 2 2 2 2 7" xfId="1470"/>
    <cellStyle name="Normal 2 2 2 2 2 2 23 2 3 2 2 2 2 8" xfId="1471"/>
    <cellStyle name="Normal 2 2 2 2 2 2 23 2 3 2 2 2 2 9" xfId="1472"/>
    <cellStyle name="Normal 2 2 2 2 2 2 23 2 3 2 2 2 3" xfId="1473"/>
    <cellStyle name="Normal 2 2 2 2 2 2 23 2 3 2 2 2 3 2" xfId="1474"/>
    <cellStyle name="Normal 2 2 2 2 2 2 23 2 3 2 2 2 4" xfId="1475"/>
    <cellStyle name="Normal 2 2 2 2 2 2 23 2 3 2 2 2 5" xfId="1476"/>
    <cellStyle name="Normal 2 2 2 2 2 2 23 2 3 2 2 2 6" xfId="1477"/>
    <cellStyle name="Normal 2 2 2 2 2 2 23 2 3 2 2 2 7" xfId="1478"/>
    <cellStyle name="Normal 2 2 2 2 2 2 23 2 3 2 2 2 8" xfId="1479"/>
    <cellStyle name="Normal 2 2 2 2 2 2 23 2 3 2 2 2 9" xfId="1480"/>
    <cellStyle name="Normal 2 2 2 2 2 2 23 2 3 2 2 3" xfId="1481"/>
    <cellStyle name="Normal 2 2 2 2 2 2 23 2 3 2 2 3 2" xfId="1482"/>
    <cellStyle name="Normal 2 2 2 2 2 2 23 2 3 2 2 4" xfId="1483"/>
    <cellStyle name="Normal 2 2 2 2 2 2 23 2 3 2 2 5" xfId="1484"/>
    <cellStyle name="Normal 2 2 2 2 2 2 23 2 3 2 2 6" xfId="1485"/>
    <cellStyle name="Normal 2 2 2 2 2 2 23 2 3 2 2 7" xfId="1486"/>
    <cellStyle name="Normal 2 2 2 2 2 2 23 2 3 2 2 8" xfId="1487"/>
    <cellStyle name="Normal 2 2 2 2 2 2 23 2 3 2 2 9" xfId="1488"/>
    <cellStyle name="Normal 2 2 2 2 2 2 23 2 3 2 3" xfId="1489"/>
    <cellStyle name="Normal 2 2 2 2 2 2 23 2 3 2 3 10" xfId="1490"/>
    <cellStyle name="Normal 2 2 2 2 2 2 23 2 3 2 3 11" xfId="1491"/>
    <cellStyle name="Normal 2 2 2 2 2 2 23 2 3 2 3 2" xfId="1492"/>
    <cellStyle name="Normal 2 2 2 2 2 2 23 2 3 2 3 2 2" xfId="1493"/>
    <cellStyle name="Normal 2 2 2 2 2 2 23 2 3 2 3 3" xfId="1494"/>
    <cellStyle name="Normal 2 2 2 2 2 2 23 2 3 2 3 4" xfId="1495"/>
    <cellStyle name="Normal 2 2 2 2 2 2 23 2 3 2 3 5" xfId="1496"/>
    <cellStyle name="Normal 2 2 2 2 2 2 23 2 3 2 3 6" xfId="1497"/>
    <cellStyle name="Normal 2 2 2 2 2 2 23 2 3 2 3 7" xfId="1498"/>
    <cellStyle name="Normal 2 2 2 2 2 2 23 2 3 2 3 8" xfId="1499"/>
    <cellStyle name="Normal 2 2 2 2 2 2 23 2 3 2 3 9" xfId="1500"/>
    <cellStyle name="Normal 2 2 2 2 2 2 23 2 3 2 4" xfId="1501"/>
    <cellStyle name="Normal 2 2 2 2 2 2 23 2 3 2 4 2" xfId="1502"/>
    <cellStyle name="Normal 2 2 2 2 2 2 23 2 3 2 5" xfId="1503"/>
    <cellStyle name="Normal 2 2 2 2 2 2 23 2 3 2 6" xfId="1504"/>
    <cellStyle name="Normal 2 2 2 2 2 2 23 2 3 2 7" xfId="1505"/>
    <cellStyle name="Normal 2 2 2 2 2 2 23 2 3 2 8" xfId="1506"/>
    <cellStyle name="Normal 2 2 2 2 2 2 23 2 3 2 9" xfId="1507"/>
    <cellStyle name="Normal 2 2 2 2 2 2 23 2 3 3" xfId="1508"/>
    <cellStyle name="Normal 2 2 2 2 2 2 23 2 3 3 10" xfId="1509"/>
    <cellStyle name="Normal 2 2 2 2 2 2 23 2 3 3 11" xfId="1510"/>
    <cellStyle name="Normal 2 2 2 2 2 2 23 2 3 3 2" xfId="1511"/>
    <cellStyle name="Normal 2 2 2 2 2 2 23 2 3 3 2 10" xfId="1512"/>
    <cellStyle name="Normal 2 2 2 2 2 2 23 2 3 3 2 11" xfId="1513"/>
    <cellStyle name="Normal 2 2 2 2 2 2 23 2 3 3 2 2" xfId="1514"/>
    <cellStyle name="Normal 2 2 2 2 2 2 23 2 3 3 2 2 2" xfId="1515"/>
    <cellStyle name="Normal 2 2 2 2 2 2 23 2 3 3 2 3" xfId="1516"/>
    <cellStyle name="Normal 2 2 2 2 2 2 23 2 3 3 2 4" xfId="1517"/>
    <cellStyle name="Normal 2 2 2 2 2 2 23 2 3 3 2 5" xfId="1518"/>
    <cellStyle name="Normal 2 2 2 2 2 2 23 2 3 3 2 6" xfId="1519"/>
    <cellStyle name="Normal 2 2 2 2 2 2 23 2 3 3 2 7" xfId="1520"/>
    <cellStyle name="Normal 2 2 2 2 2 2 23 2 3 3 2 8" xfId="1521"/>
    <cellStyle name="Normal 2 2 2 2 2 2 23 2 3 3 2 9" xfId="1522"/>
    <cellStyle name="Normal 2 2 2 2 2 2 23 2 3 3 3" xfId="1523"/>
    <cellStyle name="Normal 2 2 2 2 2 2 23 2 3 3 3 2" xfId="1524"/>
    <cellStyle name="Normal 2 2 2 2 2 2 23 2 3 3 4" xfId="1525"/>
    <cellStyle name="Normal 2 2 2 2 2 2 23 2 3 3 5" xfId="1526"/>
    <cellStyle name="Normal 2 2 2 2 2 2 23 2 3 3 6" xfId="1527"/>
    <cellStyle name="Normal 2 2 2 2 2 2 23 2 3 3 7" xfId="1528"/>
    <cellStyle name="Normal 2 2 2 2 2 2 23 2 3 3 8" xfId="1529"/>
    <cellStyle name="Normal 2 2 2 2 2 2 23 2 3 3 9" xfId="1530"/>
    <cellStyle name="Normal 2 2 2 2 2 2 23 2 3 4" xfId="1531"/>
    <cellStyle name="Normal 2 2 2 2 2 2 23 2 3 4 2" xfId="1532"/>
    <cellStyle name="Normal 2 2 2 2 2 2 23 2 3 5" xfId="1533"/>
    <cellStyle name="Normal 2 2 2 2 2 2 23 2 3 6" xfId="1534"/>
    <cellStyle name="Normal 2 2 2 2 2 2 23 2 3 7" xfId="1535"/>
    <cellStyle name="Normal 2 2 2 2 2 2 23 2 3 8" xfId="1536"/>
    <cellStyle name="Normal 2 2 2 2 2 2 23 2 3 9" xfId="1537"/>
    <cellStyle name="Normal 2 2 2 2 2 2 23 2 4" xfId="1538"/>
    <cellStyle name="Normal 2 2 2 2 2 2 23 2 4 10" xfId="1539"/>
    <cellStyle name="Normal 2 2 2 2 2 2 23 2 4 11" xfId="1540"/>
    <cellStyle name="Normal 2 2 2 2 2 2 23 2 4 12" xfId="1541"/>
    <cellStyle name="Normal 2 2 2 2 2 2 23 2 4 2" xfId="1542"/>
    <cellStyle name="Normal 2 2 2 2 2 2 23 2 4 2 10" xfId="1543"/>
    <cellStyle name="Normal 2 2 2 2 2 2 23 2 4 2 11" xfId="1544"/>
    <cellStyle name="Normal 2 2 2 2 2 2 23 2 4 2 2" xfId="1545"/>
    <cellStyle name="Normal 2 2 2 2 2 2 23 2 4 2 2 10" xfId="1546"/>
    <cellStyle name="Normal 2 2 2 2 2 2 23 2 4 2 2 11" xfId="1547"/>
    <cellStyle name="Normal 2 2 2 2 2 2 23 2 4 2 2 2" xfId="1548"/>
    <cellStyle name="Normal 2 2 2 2 2 2 23 2 4 2 2 2 2" xfId="1549"/>
    <cellStyle name="Normal 2 2 2 2 2 2 23 2 4 2 2 3" xfId="1550"/>
    <cellStyle name="Normal 2 2 2 2 2 2 23 2 4 2 2 4" xfId="1551"/>
    <cellStyle name="Normal 2 2 2 2 2 2 23 2 4 2 2 5" xfId="1552"/>
    <cellStyle name="Normal 2 2 2 2 2 2 23 2 4 2 2 6" xfId="1553"/>
    <cellStyle name="Normal 2 2 2 2 2 2 23 2 4 2 2 7" xfId="1554"/>
    <cellStyle name="Normal 2 2 2 2 2 2 23 2 4 2 2 8" xfId="1555"/>
    <cellStyle name="Normal 2 2 2 2 2 2 23 2 4 2 2 9" xfId="1556"/>
    <cellStyle name="Normal 2 2 2 2 2 2 23 2 4 2 3" xfId="1557"/>
    <cellStyle name="Normal 2 2 2 2 2 2 23 2 4 2 3 2" xfId="1558"/>
    <cellStyle name="Normal 2 2 2 2 2 2 23 2 4 2 4" xfId="1559"/>
    <cellStyle name="Normal 2 2 2 2 2 2 23 2 4 2 5" xfId="1560"/>
    <cellStyle name="Normal 2 2 2 2 2 2 23 2 4 2 6" xfId="1561"/>
    <cellStyle name="Normal 2 2 2 2 2 2 23 2 4 2 7" xfId="1562"/>
    <cellStyle name="Normal 2 2 2 2 2 2 23 2 4 2 8" xfId="1563"/>
    <cellStyle name="Normal 2 2 2 2 2 2 23 2 4 2 9" xfId="1564"/>
    <cellStyle name="Normal 2 2 2 2 2 2 23 2 4 3" xfId="1565"/>
    <cellStyle name="Normal 2 2 2 2 2 2 23 2 4 3 2" xfId="1566"/>
    <cellStyle name="Normal 2 2 2 2 2 2 23 2 4 4" xfId="1567"/>
    <cellStyle name="Normal 2 2 2 2 2 2 23 2 4 5" xfId="1568"/>
    <cellStyle name="Normal 2 2 2 2 2 2 23 2 4 6" xfId="1569"/>
    <cellStyle name="Normal 2 2 2 2 2 2 23 2 4 7" xfId="1570"/>
    <cellStyle name="Normal 2 2 2 2 2 2 23 2 4 8" xfId="1571"/>
    <cellStyle name="Normal 2 2 2 2 2 2 23 2 4 9" xfId="1572"/>
    <cellStyle name="Normal 2 2 2 2 2 2 23 2 5" xfId="1573"/>
    <cellStyle name="Normal 2 2 2 2 2 2 23 2 5 10" xfId="1574"/>
    <cellStyle name="Normal 2 2 2 2 2 2 23 2 5 11" xfId="1575"/>
    <cellStyle name="Normal 2 2 2 2 2 2 23 2 5 2" xfId="1576"/>
    <cellStyle name="Normal 2 2 2 2 2 2 23 2 5 2 2" xfId="1577"/>
    <cellStyle name="Normal 2 2 2 2 2 2 23 2 5 3" xfId="1578"/>
    <cellStyle name="Normal 2 2 2 2 2 2 23 2 5 4" xfId="1579"/>
    <cellStyle name="Normal 2 2 2 2 2 2 23 2 5 5" xfId="1580"/>
    <cellStyle name="Normal 2 2 2 2 2 2 23 2 5 6" xfId="1581"/>
    <cellStyle name="Normal 2 2 2 2 2 2 23 2 5 7" xfId="1582"/>
    <cellStyle name="Normal 2 2 2 2 2 2 23 2 5 8" xfId="1583"/>
    <cellStyle name="Normal 2 2 2 2 2 2 23 2 5 9" xfId="1584"/>
    <cellStyle name="Normal 2 2 2 2 2 2 23 2 6" xfId="1585"/>
    <cellStyle name="Normal 2 2 2 2 2 2 23 2 6 2" xfId="1586"/>
    <cellStyle name="Normal 2 2 2 2 2 2 23 2 7" xfId="1587"/>
    <cellStyle name="Normal 2 2 2 2 2 2 23 2 8" xfId="1588"/>
    <cellStyle name="Normal 2 2 2 2 2 2 23 2 9" xfId="1589"/>
    <cellStyle name="Normal 2 2 2 2 2 2 23 3" xfId="1590"/>
    <cellStyle name="Normal 2 2 2 2 2 2 23 3 10" xfId="1591"/>
    <cellStyle name="Normal 2 2 2 2 2 2 23 3 11" xfId="1592"/>
    <cellStyle name="Normal 2 2 2 2 2 2 23 3 12" xfId="1593"/>
    <cellStyle name="Normal 2 2 2 2 2 2 23 3 13" xfId="1594"/>
    <cellStyle name="Normal 2 2 2 2 2 2 23 3 2" xfId="1595"/>
    <cellStyle name="Normal 2 2 2 2 2 2 23 3 2 10" xfId="1596"/>
    <cellStyle name="Normal 2 2 2 2 2 2 23 3 2 11" xfId="1597"/>
    <cellStyle name="Normal 2 2 2 2 2 2 23 3 2 12" xfId="1598"/>
    <cellStyle name="Normal 2 2 2 2 2 2 23 3 2 13" xfId="1599"/>
    <cellStyle name="Normal 2 2 2 2 2 2 23 3 2 2" xfId="1600"/>
    <cellStyle name="Normal 2 2 2 2 2 2 23 3 2 2 10" xfId="1601"/>
    <cellStyle name="Normal 2 2 2 2 2 2 23 3 2 2 11" xfId="1602"/>
    <cellStyle name="Normal 2 2 2 2 2 2 23 3 2 2 12" xfId="1603"/>
    <cellStyle name="Normal 2 2 2 2 2 2 23 3 2 2 2" xfId="1604"/>
    <cellStyle name="Normal 2 2 2 2 2 2 23 3 2 2 2 10" xfId="1605"/>
    <cellStyle name="Normal 2 2 2 2 2 2 23 3 2 2 2 11" xfId="1606"/>
    <cellStyle name="Normal 2 2 2 2 2 2 23 3 2 2 2 12" xfId="1607"/>
    <cellStyle name="Normal 2 2 2 2 2 2 23 3 2 2 2 2" xfId="1608"/>
    <cellStyle name="Normal 2 2 2 2 2 2 23 3 2 2 2 2 10" xfId="1609"/>
    <cellStyle name="Normal 2 2 2 2 2 2 23 3 2 2 2 2 11" xfId="1610"/>
    <cellStyle name="Normal 2 2 2 2 2 2 23 3 2 2 2 2 2" xfId="1611"/>
    <cellStyle name="Normal 2 2 2 2 2 2 23 3 2 2 2 2 2 10" xfId="1612"/>
    <cellStyle name="Normal 2 2 2 2 2 2 23 3 2 2 2 2 2 11" xfId="1613"/>
    <cellStyle name="Normal 2 2 2 2 2 2 23 3 2 2 2 2 2 2" xfId="1614"/>
    <cellStyle name="Normal 2 2 2 2 2 2 23 3 2 2 2 2 2 2 2" xfId="1615"/>
    <cellStyle name="Normal 2 2 2 2 2 2 23 3 2 2 2 2 2 3" xfId="1616"/>
    <cellStyle name="Normal 2 2 2 2 2 2 23 3 2 2 2 2 2 4" xfId="1617"/>
    <cellStyle name="Normal 2 2 2 2 2 2 23 3 2 2 2 2 2 5" xfId="1618"/>
    <cellStyle name="Normal 2 2 2 2 2 2 23 3 2 2 2 2 2 6" xfId="1619"/>
    <cellStyle name="Normal 2 2 2 2 2 2 23 3 2 2 2 2 2 7" xfId="1620"/>
    <cellStyle name="Normal 2 2 2 2 2 2 23 3 2 2 2 2 2 8" xfId="1621"/>
    <cellStyle name="Normal 2 2 2 2 2 2 23 3 2 2 2 2 2 9" xfId="1622"/>
    <cellStyle name="Normal 2 2 2 2 2 2 23 3 2 2 2 2 3" xfId="1623"/>
    <cellStyle name="Normal 2 2 2 2 2 2 23 3 2 2 2 2 3 2" xfId="1624"/>
    <cellStyle name="Normal 2 2 2 2 2 2 23 3 2 2 2 2 4" xfId="1625"/>
    <cellStyle name="Normal 2 2 2 2 2 2 23 3 2 2 2 2 5" xfId="1626"/>
    <cellStyle name="Normal 2 2 2 2 2 2 23 3 2 2 2 2 6" xfId="1627"/>
    <cellStyle name="Normal 2 2 2 2 2 2 23 3 2 2 2 2 7" xfId="1628"/>
    <cellStyle name="Normal 2 2 2 2 2 2 23 3 2 2 2 2 8" xfId="1629"/>
    <cellStyle name="Normal 2 2 2 2 2 2 23 3 2 2 2 2 9" xfId="1630"/>
    <cellStyle name="Normal 2 2 2 2 2 2 23 3 2 2 2 3" xfId="1631"/>
    <cellStyle name="Normal 2 2 2 2 2 2 23 3 2 2 2 3 2" xfId="1632"/>
    <cellStyle name="Normal 2 2 2 2 2 2 23 3 2 2 2 4" xfId="1633"/>
    <cellStyle name="Normal 2 2 2 2 2 2 23 3 2 2 2 5" xfId="1634"/>
    <cellStyle name="Normal 2 2 2 2 2 2 23 3 2 2 2 6" xfId="1635"/>
    <cellStyle name="Normal 2 2 2 2 2 2 23 3 2 2 2 7" xfId="1636"/>
    <cellStyle name="Normal 2 2 2 2 2 2 23 3 2 2 2 8" xfId="1637"/>
    <cellStyle name="Normal 2 2 2 2 2 2 23 3 2 2 2 9" xfId="1638"/>
    <cellStyle name="Normal 2 2 2 2 2 2 23 3 2 2 3" xfId="1639"/>
    <cellStyle name="Normal 2 2 2 2 2 2 23 3 2 2 3 10" xfId="1640"/>
    <cellStyle name="Normal 2 2 2 2 2 2 23 3 2 2 3 11" xfId="1641"/>
    <cellStyle name="Normal 2 2 2 2 2 2 23 3 2 2 3 2" xfId="1642"/>
    <cellStyle name="Normal 2 2 2 2 2 2 23 3 2 2 3 2 2" xfId="1643"/>
    <cellStyle name="Normal 2 2 2 2 2 2 23 3 2 2 3 3" xfId="1644"/>
    <cellStyle name="Normal 2 2 2 2 2 2 23 3 2 2 3 4" xfId="1645"/>
    <cellStyle name="Normal 2 2 2 2 2 2 23 3 2 2 3 5" xfId="1646"/>
    <cellStyle name="Normal 2 2 2 2 2 2 23 3 2 2 3 6" xfId="1647"/>
    <cellStyle name="Normal 2 2 2 2 2 2 23 3 2 2 3 7" xfId="1648"/>
    <cellStyle name="Normal 2 2 2 2 2 2 23 3 2 2 3 8" xfId="1649"/>
    <cellStyle name="Normal 2 2 2 2 2 2 23 3 2 2 3 9" xfId="1650"/>
    <cellStyle name="Normal 2 2 2 2 2 2 23 3 2 2 4" xfId="1651"/>
    <cellStyle name="Normal 2 2 2 2 2 2 23 3 2 2 4 2" xfId="1652"/>
    <cellStyle name="Normal 2 2 2 2 2 2 23 3 2 2 5" xfId="1653"/>
    <cellStyle name="Normal 2 2 2 2 2 2 23 3 2 2 6" xfId="1654"/>
    <cellStyle name="Normal 2 2 2 2 2 2 23 3 2 2 7" xfId="1655"/>
    <cellStyle name="Normal 2 2 2 2 2 2 23 3 2 2 8" xfId="1656"/>
    <cellStyle name="Normal 2 2 2 2 2 2 23 3 2 2 9" xfId="1657"/>
    <cellStyle name="Normal 2 2 2 2 2 2 23 3 2 3" xfId="1658"/>
    <cellStyle name="Normal 2 2 2 2 2 2 23 3 2 3 10" xfId="1659"/>
    <cellStyle name="Normal 2 2 2 2 2 2 23 3 2 3 11" xfId="1660"/>
    <cellStyle name="Normal 2 2 2 2 2 2 23 3 2 3 2" xfId="1661"/>
    <cellStyle name="Normal 2 2 2 2 2 2 23 3 2 3 2 10" xfId="1662"/>
    <cellStyle name="Normal 2 2 2 2 2 2 23 3 2 3 2 11" xfId="1663"/>
    <cellStyle name="Normal 2 2 2 2 2 2 23 3 2 3 2 2" xfId="1664"/>
    <cellStyle name="Normal 2 2 2 2 2 2 23 3 2 3 2 2 2" xfId="1665"/>
    <cellStyle name="Normal 2 2 2 2 2 2 23 3 2 3 2 3" xfId="1666"/>
    <cellStyle name="Normal 2 2 2 2 2 2 23 3 2 3 2 4" xfId="1667"/>
    <cellStyle name="Normal 2 2 2 2 2 2 23 3 2 3 2 5" xfId="1668"/>
    <cellStyle name="Normal 2 2 2 2 2 2 23 3 2 3 2 6" xfId="1669"/>
    <cellStyle name="Normal 2 2 2 2 2 2 23 3 2 3 2 7" xfId="1670"/>
    <cellStyle name="Normal 2 2 2 2 2 2 23 3 2 3 2 8" xfId="1671"/>
    <cellStyle name="Normal 2 2 2 2 2 2 23 3 2 3 2 9" xfId="1672"/>
    <cellStyle name="Normal 2 2 2 2 2 2 23 3 2 3 3" xfId="1673"/>
    <cellStyle name="Normal 2 2 2 2 2 2 23 3 2 3 3 2" xfId="1674"/>
    <cellStyle name="Normal 2 2 2 2 2 2 23 3 2 3 4" xfId="1675"/>
    <cellStyle name="Normal 2 2 2 2 2 2 23 3 2 3 5" xfId="1676"/>
    <cellStyle name="Normal 2 2 2 2 2 2 23 3 2 3 6" xfId="1677"/>
    <cellStyle name="Normal 2 2 2 2 2 2 23 3 2 3 7" xfId="1678"/>
    <cellStyle name="Normal 2 2 2 2 2 2 23 3 2 3 8" xfId="1679"/>
    <cellStyle name="Normal 2 2 2 2 2 2 23 3 2 3 9" xfId="1680"/>
    <cellStyle name="Normal 2 2 2 2 2 2 23 3 2 4" xfId="1681"/>
    <cellStyle name="Normal 2 2 2 2 2 2 23 3 2 4 2" xfId="1682"/>
    <cellStyle name="Normal 2 2 2 2 2 2 23 3 2 5" xfId="1683"/>
    <cellStyle name="Normal 2 2 2 2 2 2 23 3 2 6" xfId="1684"/>
    <cellStyle name="Normal 2 2 2 2 2 2 23 3 2 7" xfId="1685"/>
    <cellStyle name="Normal 2 2 2 2 2 2 23 3 2 8" xfId="1686"/>
    <cellStyle name="Normal 2 2 2 2 2 2 23 3 2 9" xfId="1687"/>
    <cellStyle name="Normal 2 2 2 2 2 2 23 3 3" xfId="1688"/>
    <cellStyle name="Normal 2 2 2 2 2 2 23 3 3 10" xfId="1689"/>
    <cellStyle name="Normal 2 2 2 2 2 2 23 3 3 11" xfId="1690"/>
    <cellStyle name="Normal 2 2 2 2 2 2 23 3 3 12" xfId="1691"/>
    <cellStyle name="Normal 2 2 2 2 2 2 23 3 3 2" xfId="1692"/>
    <cellStyle name="Normal 2 2 2 2 2 2 23 3 3 2 10" xfId="1693"/>
    <cellStyle name="Normal 2 2 2 2 2 2 23 3 3 2 11" xfId="1694"/>
    <cellStyle name="Normal 2 2 2 2 2 2 23 3 3 2 2" xfId="1695"/>
    <cellStyle name="Normal 2 2 2 2 2 2 23 3 3 2 2 10" xfId="1696"/>
    <cellStyle name="Normal 2 2 2 2 2 2 23 3 3 2 2 11" xfId="1697"/>
    <cellStyle name="Normal 2 2 2 2 2 2 23 3 3 2 2 2" xfId="1698"/>
    <cellStyle name="Normal 2 2 2 2 2 2 23 3 3 2 2 2 2" xfId="1699"/>
    <cellStyle name="Normal 2 2 2 2 2 2 23 3 3 2 2 3" xfId="1700"/>
    <cellStyle name="Normal 2 2 2 2 2 2 23 3 3 2 2 4" xfId="1701"/>
    <cellStyle name="Normal 2 2 2 2 2 2 23 3 3 2 2 5" xfId="1702"/>
    <cellStyle name="Normal 2 2 2 2 2 2 23 3 3 2 2 6" xfId="1703"/>
    <cellStyle name="Normal 2 2 2 2 2 2 23 3 3 2 2 7" xfId="1704"/>
    <cellStyle name="Normal 2 2 2 2 2 2 23 3 3 2 2 8" xfId="1705"/>
    <cellStyle name="Normal 2 2 2 2 2 2 23 3 3 2 2 9" xfId="1706"/>
    <cellStyle name="Normal 2 2 2 2 2 2 23 3 3 2 3" xfId="1707"/>
    <cellStyle name="Normal 2 2 2 2 2 2 23 3 3 2 3 2" xfId="1708"/>
    <cellStyle name="Normal 2 2 2 2 2 2 23 3 3 2 4" xfId="1709"/>
    <cellStyle name="Normal 2 2 2 2 2 2 23 3 3 2 5" xfId="1710"/>
    <cellStyle name="Normal 2 2 2 2 2 2 23 3 3 2 6" xfId="1711"/>
    <cellStyle name="Normal 2 2 2 2 2 2 23 3 3 2 7" xfId="1712"/>
    <cellStyle name="Normal 2 2 2 2 2 2 23 3 3 2 8" xfId="1713"/>
    <cellStyle name="Normal 2 2 2 2 2 2 23 3 3 2 9" xfId="1714"/>
    <cellStyle name="Normal 2 2 2 2 2 2 23 3 3 3" xfId="1715"/>
    <cellStyle name="Normal 2 2 2 2 2 2 23 3 3 3 2" xfId="1716"/>
    <cellStyle name="Normal 2 2 2 2 2 2 23 3 3 4" xfId="1717"/>
    <cellStyle name="Normal 2 2 2 2 2 2 23 3 3 5" xfId="1718"/>
    <cellStyle name="Normal 2 2 2 2 2 2 23 3 3 6" xfId="1719"/>
    <cellStyle name="Normal 2 2 2 2 2 2 23 3 3 7" xfId="1720"/>
    <cellStyle name="Normal 2 2 2 2 2 2 23 3 3 8" xfId="1721"/>
    <cellStyle name="Normal 2 2 2 2 2 2 23 3 3 9" xfId="1722"/>
    <cellStyle name="Normal 2 2 2 2 2 2 23 3 4" xfId="1723"/>
    <cellStyle name="Normal 2 2 2 2 2 2 23 3 4 10" xfId="1724"/>
    <cellStyle name="Normal 2 2 2 2 2 2 23 3 4 11" xfId="1725"/>
    <cellStyle name="Normal 2 2 2 2 2 2 23 3 4 2" xfId="1726"/>
    <cellStyle name="Normal 2 2 2 2 2 2 23 3 4 2 2" xfId="1727"/>
    <cellStyle name="Normal 2 2 2 2 2 2 23 3 4 3" xfId="1728"/>
    <cellStyle name="Normal 2 2 2 2 2 2 23 3 4 4" xfId="1729"/>
    <cellStyle name="Normal 2 2 2 2 2 2 23 3 4 5" xfId="1730"/>
    <cellStyle name="Normal 2 2 2 2 2 2 23 3 4 6" xfId="1731"/>
    <cellStyle name="Normal 2 2 2 2 2 2 23 3 4 7" xfId="1732"/>
    <cellStyle name="Normal 2 2 2 2 2 2 23 3 4 8" xfId="1733"/>
    <cellStyle name="Normal 2 2 2 2 2 2 23 3 4 9" xfId="1734"/>
    <cellStyle name="Normal 2 2 2 2 2 2 23 3 5" xfId="1735"/>
    <cellStyle name="Normal 2 2 2 2 2 2 23 3 5 2" xfId="1736"/>
    <cellStyle name="Normal 2 2 2 2 2 2 23 3 6" xfId="1737"/>
    <cellStyle name="Normal 2 2 2 2 2 2 23 3 7" xfId="1738"/>
    <cellStyle name="Normal 2 2 2 2 2 2 23 3 8" xfId="1739"/>
    <cellStyle name="Normal 2 2 2 2 2 2 23 3 9" xfId="1740"/>
    <cellStyle name="Normal 2 2 2 2 2 2 23 4" xfId="1741"/>
    <cellStyle name="Normal 2 2 2 2 2 2 23 4 10" xfId="1742"/>
    <cellStyle name="Normal 2 2 2 2 2 2 23 4 11" xfId="1743"/>
    <cellStyle name="Normal 2 2 2 2 2 2 23 4 12" xfId="1744"/>
    <cellStyle name="Normal 2 2 2 2 2 2 23 4 2" xfId="1745"/>
    <cellStyle name="Normal 2 2 2 2 2 2 23 4 2 10" xfId="1746"/>
    <cellStyle name="Normal 2 2 2 2 2 2 23 4 2 11" xfId="1747"/>
    <cellStyle name="Normal 2 2 2 2 2 2 23 4 2 12" xfId="1748"/>
    <cellStyle name="Normal 2 2 2 2 2 2 23 4 2 2" xfId="1749"/>
    <cellStyle name="Normal 2 2 2 2 2 2 23 4 2 2 10" xfId="1750"/>
    <cellStyle name="Normal 2 2 2 2 2 2 23 4 2 2 11" xfId="1751"/>
    <cellStyle name="Normal 2 2 2 2 2 2 23 4 2 2 2" xfId="1752"/>
    <cellStyle name="Normal 2 2 2 2 2 2 23 4 2 2 2 10" xfId="1753"/>
    <cellStyle name="Normal 2 2 2 2 2 2 23 4 2 2 2 11" xfId="1754"/>
    <cellStyle name="Normal 2 2 2 2 2 2 23 4 2 2 2 2" xfId="1755"/>
    <cellStyle name="Normal 2 2 2 2 2 2 23 4 2 2 2 2 2" xfId="1756"/>
    <cellStyle name="Normal 2 2 2 2 2 2 23 4 2 2 2 3" xfId="1757"/>
    <cellStyle name="Normal 2 2 2 2 2 2 23 4 2 2 2 4" xfId="1758"/>
    <cellStyle name="Normal 2 2 2 2 2 2 23 4 2 2 2 5" xfId="1759"/>
    <cellStyle name="Normal 2 2 2 2 2 2 23 4 2 2 2 6" xfId="1760"/>
    <cellStyle name="Normal 2 2 2 2 2 2 23 4 2 2 2 7" xfId="1761"/>
    <cellStyle name="Normal 2 2 2 2 2 2 23 4 2 2 2 8" xfId="1762"/>
    <cellStyle name="Normal 2 2 2 2 2 2 23 4 2 2 2 9" xfId="1763"/>
    <cellStyle name="Normal 2 2 2 2 2 2 23 4 2 2 3" xfId="1764"/>
    <cellStyle name="Normal 2 2 2 2 2 2 23 4 2 2 3 2" xfId="1765"/>
    <cellStyle name="Normal 2 2 2 2 2 2 23 4 2 2 4" xfId="1766"/>
    <cellStyle name="Normal 2 2 2 2 2 2 23 4 2 2 5" xfId="1767"/>
    <cellStyle name="Normal 2 2 2 2 2 2 23 4 2 2 6" xfId="1768"/>
    <cellStyle name="Normal 2 2 2 2 2 2 23 4 2 2 7" xfId="1769"/>
    <cellStyle name="Normal 2 2 2 2 2 2 23 4 2 2 8" xfId="1770"/>
    <cellStyle name="Normal 2 2 2 2 2 2 23 4 2 2 9" xfId="1771"/>
    <cellStyle name="Normal 2 2 2 2 2 2 23 4 2 3" xfId="1772"/>
    <cellStyle name="Normal 2 2 2 2 2 2 23 4 2 3 2" xfId="1773"/>
    <cellStyle name="Normal 2 2 2 2 2 2 23 4 2 4" xfId="1774"/>
    <cellStyle name="Normal 2 2 2 2 2 2 23 4 2 5" xfId="1775"/>
    <cellStyle name="Normal 2 2 2 2 2 2 23 4 2 6" xfId="1776"/>
    <cellStyle name="Normal 2 2 2 2 2 2 23 4 2 7" xfId="1777"/>
    <cellStyle name="Normal 2 2 2 2 2 2 23 4 2 8" xfId="1778"/>
    <cellStyle name="Normal 2 2 2 2 2 2 23 4 2 9" xfId="1779"/>
    <cellStyle name="Normal 2 2 2 2 2 2 23 4 3" xfId="1780"/>
    <cellStyle name="Normal 2 2 2 2 2 2 23 4 3 10" xfId="1781"/>
    <cellStyle name="Normal 2 2 2 2 2 2 23 4 3 11" xfId="1782"/>
    <cellStyle name="Normal 2 2 2 2 2 2 23 4 3 2" xfId="1783"/>
    <cellStyle name="Normal 2 2 2 2 2 2 23 4 3 2 2" xfId="1784"/>
    <cellStyle name="Normal 2 2 2 2 2 2 23 4 3 3" xfId="1785"/>
    <cellStyle name="Normal 2 2 2 2 2 2 23 4 3 4" xfId="1786"/>
    <cellStyle name="Normal 2 2 2 2 2 2 23 4 3 5" xfId="1787"/>
    <cellStyle name="Normal 2 2 2 2 2 2 23 4 3 6" xfId="1788"/>
    <cellStyle name="Normal 2 2 2 2 2 2 23 4 3 7" xfId="1789"/>
    <cellStyle name="Normal 2 2 2 2 2 2 23 4 3 8" xfId="1790"/>
    <cellStyle name="Normal 2 2 2 2 2 2 23 4 3 9" xfId="1791"/>
    <cellStyle name="Normal 2 2 2 2 2 2 23 4 4" xfId="1792"/>
    <cellStyle name="Normal 2 2 2 2 2 2 23 4 4 2" xfId="1793"/>
    <cellStyle name="Normal 2 2 2 2 2 2 23 4 5" xfId="1794"/>
    <cellStyle name="Normal 2 2 2 2 2 2 23 4 6" xfId="1795"/>
    <cellStyle name="Normal 2 2 2 2 2 2 23 4 7" xfId="1796"/>
    <cellStyle name="Normal 2 2 2 2 2 2 23 4 8" xfId="1797"/>
    <cellStyle name="Normal 2 2 2 2 2 2 23 4 9" xfId="1798"/>
    <cellStyle name="Normal 2 2 2 2 2 2 23 5" xfId="1799"/>
    <cellStyle name="Normal 2 2 2 2 2 2 23 5 10" xfId="1800"/>
    <cellStyle name="Normal 2 2 2 2 2 2 23 5 11" xfId="1801"/>
    <cellStyle name="Normal 2 2 2 2 2 2 23 5 2" xfId="1802"/>
    <cellStyle name="Normal 2 2 2 2 2 2 23 5 2 10" xfId="1803"/>
    <cellStyle name="Normal 2 2 2 2 2 2 23 5 2 11" xfId="1804"/>
    <cellStyle name="Normal 2 2 2 2 2 2 23 5 2 2" xfId="1805"/>
    <cellStyle name="Normal 2 2 2 2 2 2 23 5 2 2 2" xfId="1806"/>
    <cellStyle name="Normal 2 2 2 2 2 2 23 5 2 3" xfId="1807"/>
    <cellStyle name="Normal 2 2 2 2 2 2 23 5 2 4" xfId="1808"/>
    <cellStyle name="Normal 2 2 2 2 2 2 23 5 2 5" xfId="1809"/>
    <cellStyle name="Normal 2 2 2 2 2 2 23 5 2 6" xfId="1810"/>
    <cellStyle name="Normal 2 2 2 2 2 2 23 5 2 7" xfId="1811"/>
    <cellStyle name="Normal 2 2 2 2 2 2 23 5 2 8" xfId="1812"/>
    <cellStyle name="Normal 2 2 2 2 2 2 23 5 2 9" xfId="1813"/>
    <cellStyle name="Normal 2 2 2 2 2 2 23 5 3" xfId="1814"/>
    <cellStyle name="Normal 2 2 2 2 2 2 23 5 3 2" xfId="1815"/>
    <cellStyle name="Normal 2 2 2 2 2 2 23 5 4" xfId="1816"/>
    <cellStyle name="Normal 2 2 2 2 2 2 23 5 5" xfId="1817"/>
    <cellStyle name="Normal 2 2 2 2 2 2 23 5 6" xfId="1818"/>
    <cellStyle name="Normal 2 2 2 2 2 2 23 5 7" xfId="1819"/>
    <cellStyle name="Normal 2 2 2 2 2 2 23 5 8" xfId="1820"/>
    <cellStyle name="Normal 2 2 2 2 2 2 23 5 9" xfId="1821"/>
    <cellStyle name="Normal 2 2 2 2 2 2 23 6" xfId="1822"/>
    <cellStyle name="Normal 2 2 2 2 2 2 23 6 2" xfId="1823"/>
    <cellStyle name="Normal 2 2 2 2 2 2 23 7" xfId="1824"/>
    <cellStyle name="Normal 2 2 2 2 2 2 23 8" xfId="1825"/>
    <cellStyle name="Normal 2 2 2 2 2 2 23 9" xfId="1826"/>
    <cellStyle name="Normal 2 2 2 2 2 2 24" xfId="1827"/>
    <cellStyle name="Normal 2 2 2 2 2 2 24 10" xfId="1828"/>
    <cellStyle name="Normal 2 2 2 2 2 2 24 11" xfId="1829"/>
    <cellStyle name="Normal 2 2 2 2 2 2 24 12" xfId="1830"/>
    <cellStyle name="Normal 2 2 2 2 2 2 24 13" xfId="1831"/>
    <cellStyle name="Normal 2 2 2 2 2 2 24 14" xfId="1832"/>
    <cellStyle name="Normal 2 2 2 2 2 2 24 2" xfId="1833"/>
    <cellStyle name="Normal 2 2 2 2 2 2 24 2 10" xfId="1834"/>
    <cellStyle name="Normal 2 2 2 2 2 2 24 2 11" xfId="1835"/>
    <cellStyle name="Normal 2 2 2 2 2 2 24 2 12" xfId="1836"/>
    <cellStyle name="Normal 2 2 2 2 2 2 24 2 13" xfId="1837"/>
    <cellStyle name="Normal 2 2 2 2 2 2 24 2 2" xfId="1838"/>
    <cellStyle name="Normal 2 2 2 2 2 2 24 2 2 10" xfId="1839"/>
    <cellStyle name="Normal 2 2 2 2 2 2 24 2 2 11" xfId="1840"/>
    <cellStyle name="Normal 2 2 2 2 2 2 24 2 2 12" xfId="1841"/>
    <cellStyle name="Normal 2 2 2 2 2 2 24 2 2 13" xfId="1842"/>
    <cellStyle name="Normal 2 2 2 2 2 2 24 2 2 2" xfId="1843"/>
    <cellStyle name="Normal 2 2 2 2 2 2 24 2 2 2 10" xfId="1844"/>
    <cellStyle name="Normal 2 2 2 2 2 2 24 2 2 2 11" xfId="1845"/>
    <cellStyle name="Normal 2 2 2 2 2 2 24 2 2 2 12" xfId="1846"/>
    <cellStyle name="Normal 2 2 2 2 2 2 24 2 2 2 2" xfId="1847"/>
    <cellStyle name="Normal 2 2 2 2 2 2 24 2 2 2 2 10" xfId="1848"/>
    <cellStyle name="Normal 2 2 2 2 2 2 24 2 2 2 2 11" xfId="1849"/>
    <cellStyle name="Normal 2 2 2 2 2 2 24 2 2 2 2 12" xfId="1850"/>
    <cellStyle name="Normal 2 2 2 2 2 2 24 2 2 2 2 2" xfId="1851"/>
    <cellStyle name="Normal 2 2 2 2 2 2 24 2 2 2 2 2 10" xfId="1852"/>
    <cellStyle name="Normal 2 2 2 2 2 2 24 2 2 2 2 2 11" xfId="1853"/>
    <cellStyle name="Normal 2 2 2 2 2 2 24 2 2 2 2 2 2" xfId="1854"/>
    <cellStyle name="Normal 2 2 2 2 2 2 24 2 2 2 2 2 2 10" xfId="1855"/>
    <cellStyle name="Normal 2 2 2 2 2 2 24 2 2 2 2 2 2 11" xfId="1856"/>
    <cellStyle name="Normal 2 2 2 2 2 2 24 2 2 2 2 2 2 2" xfId="1857"/>
    <cellStyle name="Normal 2 2 2 2 2 2 24 2 2 2 2 2 2 2 2" xfId="1858"/>
    <cellStyle name="Normal 2 2 2 2 2 2 24 2 2 2 2 2 2 3" xfId="1859"/>
    <cellStyle name="Normal 2 2 2 2 2 2 24 2 2 2 2 2 2 4" xfId="1860"/>
    <cellStyle name="Normal 2 2 2 2 2 2 24 2 2 2 2 2 2 5" xfId="1861"/>
    <cellStyle name="Normal 2 2 2 2 2 2 24 2 2 2 2 2 2 6" xfId="1862"/>
    <cellStyle name="Normal 2 2 2 2 2 2 24 2 2 2 2 2 2 7" xfId="1863"/>
    <cellStyle name="Normal 2 2 2 2 2 2 24 2 2 2 2 2 2 8" xfId="1864"/>
    <cellStyle name="Normal 2 2 2 2 2 2 24 2 2 2 2 2 2 9" xfId="1865"/>
    <cellStyle name="Normal 2 2 2 2 2 2 24 2 2 2 2 2 3" xfId="1866"/>
    <cellStyle name="Normal 2 2 2 2 2 2 24 2 2 2 2 2 3 2" xfId="1867"/>
    <cellStyle name="Normal 2 2 2 2 2 2 24 2 2 2 2 2 4" xfId="1868"/>
    <cellStyle name="Normal 2 2 2 2 2 2 24 2 2 2 2 2 5" xfId="1869"/>
    <cellStyle name="Normal 2 2 2 2 2 2 24 2 2 2 2 2 6" xfId="1870"/>
    <cellStyle name="Normal 2 2 2 2 2 2 24 2 2 2 2 2 7" xfId="1871"/>
    <cellStyle name="Normal 2 2 2 2 2 2 24 2 2 2 2 2 8" xfId="1872"/>
    <cellStyle name="Normal 2 2 2 2 2 2 24 2 2 2 2 2 9" xfId="1873"/>
    <cellStyle name="Normal 2 2 2 2 2 2 24 2 2 2 2 3" xfId="1874"/>
    <cellStyle name="Normal 2 2 2 2 2 2 24 2 2 2 2 3 2" xfId="1875"/>
    <cellStyle name="Normal 2 2 2 2 2 2 24 2 2 2 2 4" xfId="1876"/>
    <cellStyle name="Normal 2 2 2 2 2 2 24 2 2 2 2 5" xfId="1877"/>
    <cellStyle name="Normal 2 2 2 2 2 2 24 2 2 2 2 6" xfId="1878"/>
    <cellStyle name="Normal 2 2 2 2 2 2 24 2 2 2 2 7" xfId="1879"/>
    <cellStyle name="Normal 2 2 2 2 2 2 24 2 2 2 2 8" xfId="1880"/>
    <cellStyle name="Normal 2 2 2 2 2 2 24 2 2 2 2 9" xfId="1881"/>
    <cellStyle name="Normal 2 2 2 2 2 2 24 2 2 2 3" xfId="1882"/>
    <cellStyle name="Normal 2 2 2 2 2 2 24 2 2 2 3 10" xfId="1883"/>
    <cellStyle name="Normal 2 2 2 2 2 2 24 2 2 2 3 11" xfId="1884"/>
    <cellStyle name="Normal 2 2 2 2 2 2 24 2 2 2 3 2" xfId="1885"/>
    <cellStyle name="Normal 2 2 2 2 2 2 24 2 2 2 3 2 2" xfId="1886"/>
    <cellStyle name="Normal 2 2 2 2 2 2 24 2 2 2 3 3" xfId="1887"/>
    <cellStyle name="Normal 2 2 2 2 2 2 24 2 2 2 3 4" xfId="1888"/>
    <cellStyle name="Normal 2 2 2 2 2 2 24 2 2 2 3 5" xfId="1889"/>
    <cellStyle name="Normal 2 2 2 2 2 2 24 2 2 2 3 6" xfId="1890"/>
    <cellStyle name="Normal 2 2 2 2 2 2 24 2 2 2 3 7" xfId="1891"/>
    <cellStyle name="Normal 2 2 2 2 2 2 24 2 2 2 3 8" xfId="1892"/>
    <cellStyle name="Normal 2 2 2 2 2 2 24 2 2 2 3 9" xfId="1893"/>
    <cellStyle name="Normal 2 2 2 2 2 2 24 2 2 2 4" xfId="1894"/>
    <cellStyle name="Normal 2 2 2 2 2 2 24 2 2 2 4 2" xfId="1895"/>
    <cellStyle name="Normal 2 2 2 2 2 2 24 2 2 2 5" xfId="1896"/>
    <cellStyle name="Normal 2 2 2 2 2 2 24 2 2 2 6" xfId="1897"/>
    <cellStyle name="Normal 2 2 2 2 2 2 24 2 2 2 7" xfId="1898"/>
    <cellStyle name="Normal 2 2 2 2 2 2 24 2 2 2 8" xfId="1899"/>
    <cellStyle name="Normal 2 2 2 2 2 2 24 2 2 2 9" xfId="1900"/>
    <cellStyle name="Normal 2 2 2 2 2 2 24 2 2 3" xfId="1901"/>
    <cellStyle name="Normal 2 2 2 2 2 2 24 2 2 3 10" xfId="1902"/>
    <cellStyle name="Normal 2 2 2 2 2 2 24 2 2 3 11" xfId="1903"/>
    <cellStyle name="Normal 2 2 2 2 2 2 24 2 2 3 2" xfId="1904"/>
    <cellStyle name="Normal 2 2 2 2 2 2 24 2 2 3 2 10" xfId="1905"/>
    <cellStyle name="Normal 2 2 2 2 2 2 24 2 2 3 2 11" xfId="1906"/>
    <cellStyle name="Normal 2 2 2 2 2 2 24 2 2 3 2 2" xfId="1907"/>
    <cellStyle name="Normal 2 2 2 2 2 2 24 2 2 3 2 2 2" xfId="1908"/>
    <cellStyle name="Normal 2 2 2 2 2 2 24 2 2 3 2 3" xfId="1909"/>
    <cellStyle name="Normal 2 2 2 2 2 2 24 2 2 3 2 4" xfId="1910"/>
    <cellStyle name="Normal 2 2 2 2 2 2 24 2 2 3 2 5" xfId="1911"/>
    <cellStyle name="Normal 2 2 2 2 2 2 24 2 2 3 2 6" xfId="1912"/>
    <cellStyle name="Normal 2 2 2 2 2 2 24 2 2 3 2 7" xfId="1913"/>
    <cellStyle name="Normal 2 2 2 2 2 2 24 2 2 3 2 8" xfId="1914"/>
    <cellStyle name="Normal 2 2 2 2 2 2 24 2 2 3 2 9" xfId="1915"/>
    <cellStyle name="Normal 2 2 2 2 2 2 24 2 2 3 3" xfId="1916"/>
    <cellStyle name="Normal 2 2 2 2 2 2 24 2 2 3 3 2" xfId="1917"/>
    <cellStyle name="Normal 2 2 2 2 2 2 24 2 2 3 4" xfId="1918"/>
    <cellStyle name="Normal 2 2 2 2 2 2 24 2 2 3 5" xfId="1919"/>
    <cellStyle name="Normal 2 2 2 2 2 2 24 2 2 3 6" xfId="1920"/>
    <cellStyle name="Normal 2 2 2 2 2 2 24 2 2 3 7" xfId="1921"/>
    <cellStyle name="Normal 2 2 2 2 2 2 24 2 2 3 8" xfId="1922"/>
    <cellStyle name="Normal 2 2 2 2 2 2 24 2 2 3 9" xfId="1923"/>
    <cellStyle name="Normal 2 2 2 2 2 2 24 2 2 4" xfId="1924"/>
    <cellStyle name="Normal 2 2 2 2 2 2 24 2 2 4 2" xfId="1925"/>
    <cellStyle name="Normal 2 2 2 2 2 2 24 2 2 5" xfId="1926"/>
    <cellStyle name="Normal 2 2 2 2 2 2 24 2 2 6" xfId="1927"/>
    <cellStyle name="Normal 2 2 2 2 2 2 24 2 2 7" xfId="1928"/>
    <cellStyle name="Normal 2 2 2 2 2 2 24 2 2 8" xfId="1929"/>
    <cellStyle name="Normal 2 2 2 2 2 2 24 2 2 9" xfId="1930"/>
    <cellStyle name="Normal 2 2 2 2 2 2 24 2 3" xfId="1931"/>
    <cellStyle name="Normal 2 2 2 2 2 2 24 2 3 10" xfId="1932"/>
    <cellStyle name="Normal 2 2 2 2 2 2 24 2 3 11" xfId="1933"/>
    <cellStyle name="Normal 2 2 2 2 2 2 24 2 3 12" xfId="1934"/>
    <cellStyle name="Normal 2 2 2 2 2 2 24 2 3 2" xfId="1935"/>
    <cellStyle name="Normal 2 2 2 2 2 2 24 2 3 2 10" xfId="1936"/>
    <cellStyle name="Normal 2 2 2 2 2 2 24 2 3 2 11" xfId="1937"/>
    <cellStyle name="Normal 2 2 2 2 2 2 24 2 3 2 2" xfId="1938"/>
    <cellStyle name="Normal 2 2 2 2 2 2 24 2 3 2 2 10" xfId="1939"/>
    <cellStyle name="Normal 2 2 2 2 2 2 24 2 3 2 2 11" xfId="1940"/>
    <cellStyle name="Normal 2 2 2 2 2 2 24 2 3 2 2 2" xfId="1941"/>
    <cellStyle name="Normal 2 2 2 2 2 2 24 2 3 2 2 2 2" xfId="1942"/>
    <cellStyle name="Normal 2 2 2 2 2 2 24 2 3 2 2 3" xfId="1943"/>
    <cellStyle name="Normal 2 2 2 2 2 2 24 2 3 2 2 4" xfId="1944"/>
    <cellStyle name="Normal 2 2 2 2 2 2 24 2 3 2 2 5" xfId="1945"/>
    <cellStyle name="Normal 2 2 2 2 2 2 24 2 3 2 2 6" xfId="1946"/>
    <cellStyle name="Normal 2 2 2 2 2 2 24 2 3 2 2 7" xfId="1947"/>
    <cellStyle name="Normal 2 2 2 2 2 2 24 2 3 2 2 8" xfId="1948"/>
    <cellStyle name="Normal 2 2 2 2 2 2 24 2 3 2 2 9" xfId="1949"/>
    <cellStyle name="Normal 2 2 2 2 2 2 24 2 3 2 3" xfId="1950"/>
    <cellStyle name="Normal 2 2 2 2 2 2 24 2 3 2 3 2" xfId="1951"/>
    <cellStyle name="Normal 2 2 2 2 2 2 24 2 3 2 4" xfId="1952"/>
    <cellStyle name="Normal 2 2 2 2 2 2 24 2 3 2 5" xfId="1953"/>
    <cellStyle name="Normal 2 2 2 2 2 2 24 2 3 2 6" xfId="1954"/>
    <cellStyle name="Normal 2 2 2 2 2 2 24 2 3 2 7" xfId="1955"/>
    <cellStyle name="Normal 2 2 2 2 2 2 24 2 3 2 8" xfId="1956"/>
    <cellStyle name="Normal 2 2 2 2 2 2 24 2 3 2 9" xfId="1957"/>
    <cellStyle name="Normal 2 2 2 2 2 2 24 2 3 3" xfId="1958"/>
    <cellStyle name="Normal 2 2 2 2 2 2 24 2 3 3 2" xfId="1959"/>
    <cellStyle name="Normal 2 2 2 2 2 2 24 2 3 4" xfId="1960"/>
    <cellStyle name="Normal 2 2 2 2 2 2 24 2 3 5" xfId="1961"/>
    <cellStyle name="Normal 2 2 2 2 2 2 24 2 3 6" xfId="1962"/>
    <cellStyle name="Normal 2 2 2 2 2 2 24 2 3 7" xfId="1963"/>
    <cellStyle name="Normal 2 2 2 2 2 2 24 2 3 8" xfId="1964"/>
    <cellStyle name="Normal 2 2 2 2 2 2 24 2 3 9" xfId="1965"/>
    <cellStyle name="Normal 2 2 2 2 2 2 24 2 4" xfId="1966"/>
    <cellStyle name="Normal 2 2 2 2 2 2 24 2 4 10" xfId="1967"/>
    <cellStyle name="Normal 2 2 2 2 2 2 24 2 4 11" xfId="1968"/>
    <cellStyle name="Normal 2 2 2 2 2 2 24 2 4 2" xfId="1969"/>
    <cellStyle name="Normal 2 2 2 2 2 2 24 2 4 2 2" xfId="1970"/>
    <cellStyle name="Normal 2 2 2 2 2 2 24 2 4 3" xfId="1971"/>
    <cellStyle name="Normal 2 2 2 2 2 2 24 2 4 4" xfId="1972"/>
    <cellStyle name="Normal 2 2 2 2 2 2 24 2 4 5" xfId="1973"/>
    <cellStyle name="Normal 2 2 2 2 2 2 24 2 4 6" xfId="1974"/>
    <cellStyle name="Normal 2 2 2 2 2 2 24 2 4 7" xfId="1975"/>
    <cellStyle name="Normal 2 2 2 2 2 2 24 2 4 8" xfId="1976"/>
    <cellStyle name="Normal 2 2 2 2 2 2 24 2 4 9" xfId="1977"/>
    <cellStyle name="Normal 2 2 2 2 2 2 24 2 5" xfId="1978"/>
    <cellStyle name="Normal 2 2 2 2 2 2 24 2 5 2" xfId="1979"/>
    <cellStyle name="Normal 2 2 2 2 2 2 24 2 6" xfId="1980"/>
    <cellStyle name="Normal 2 2 2 2 2 2 24 2 7" xfId="1981"/>
    <cellStyle name="Normal 2 2 2 2 2 2 24 2 8" xfId="1982"/>
    <cellStyle name="Normal 2 2 2 2 2 2 24 2 9" xfId="1983"/>
    <cellStyle name="Normal 2 2 2 2 2 2 24 3" xfId="1984"/>
    <cellStyle name="Normal 2 2 2 2 2 2 24 3 10" xfId="1985"/>
    <cellStyle name="Normal 2 2 2 2 2 2 24 3 11" xfId="1986"/>
    <cellStyle name="Normal 2 2 2 2 2 2 24 3 12" xfId="1987"/>
    <cellStyle name="Normal 2 2 2 2 2 2 24 3 2" xfId="1988"/>
    <cellStyle name="Normal 2 2 2 2 2 2 24 3 2 10" xfId="1989"/>
    <cellStyle name="Normal 2 2 2 2 2 2 24 3 2 11" xfId="1990"/>
    <cellStyle name="Normal 2 2 2 2 2 2 24 3 2 12" xfId="1991"/>
    <cellStyle name="Normal 2 2 2 2 2 2 24 3 2 2" xfId="1992"/>
    <cellStyle name="Normal 2 2 2 2 2 2 24 3 2 2 10" xfId="1993"/>
    <cellStyle name="Normal 2 2 2 2 2 2 24 3 2 2 11" xfId="1994"/>
    <cellStyle name="Normal 2 2 2 2 2 2 24 3 2 2 2" xfId="1995"/>
    <cellStyle name="Normal 2 2 2 2 2 2 24 3 2 2 2 10" xfId="1996"/>
    <cellStyle name="Normal 2 2 2 2 2 2 24 3 2 2 2 11" xfId="1997"/>
    <cellStyle name="Normal 2 2 2 2 2 2 24 3 2 2 2 2" xfId="1998"/>
    <cellStyle name="Normal 2 2 2 2 2 2 24 3 2 2 2 2 2" xfId="1999"/>
    <cellStyle name="Normal 2 2 2 2 2 2 24 3 2 2 2 3" xfId="2000"/>
    <cellStyle name="Normal 2 2 2 2 2 2 24 3 2 2 2 4" xfId="2001"/>
    <cellStyle name="Normal 2 2 2 2 2 2 24 3 2 2 2 5" xfId="2002"/>
    <cellStyle name="Normal 2 2 2 2 2 2 24 3 2 2 2 6" xfId="2003"/>
    <cellStyle name="Normal 2 2 2 2 2 2 24 3 2 2 2 7" xfId="2004"/>
    <cellStyle name="Normal 2 2 2 2 2 2 24 3 2 2 2 8" xfId="2005"/>
    <cellStyle name="Normal 2 2 2 2 2 2 24 3 2 2 2 9" xfId="2006"/>
    <cellStyle name="Normal 2 2 2 2 2 2 24 3 2 2 3" xfId="2007"/>
    <cellStyle name="Normal 2 2 2 2 2 2 24 3 2 2 3 2" xfId="2008"/>
    <cellStyle name="Normal 2 2 2 2 2 2 24 3 2 2 4" xfId="2009"/>
    <cellStyle name="Normal 2 2 2 2 2 2 24 3 2 2 5" xfId="2010"/>
    <cellStyle name="Normal 2 2 2 2 2 2 24 3 2 2 6" xfId="2011"/>
    <cellStyle name="Normal 2 2 2 2 2 2 24 3 2 2 7" xfId="2012"/>
    <cellStyle name="Normal 2 2 2 2 2 2 24 3 2 2 8" xfId="2013"/>
    <cellStyle name="Normal 2 2 2 2 2 2 24 3 2 2 9" xfId="2014"/>
    <cellStyle name="Normal 2 2 2 2 2 2 24 3 2 3" xfId="2015"/>
    <cellStyle name="Normal 2 2 2 2 2 2 24 3 2 3 2" xfId="2016"/>
    <cellStyle name="Normal 2 2 2 2 2 2 24 3 2 4" xfId="2017"/>
    <cellStyle name="Normal 2 2 2 2 2 2 24 3 2 5" xfId="2018"/>
    <cellStyle name="Normal 2 2 2 2 2 2 24 3 2 6" xfId="2019"/>
    <cellStyle name="Normal 2 2 2 2 2 2 24 3 2 7" xfId="2020"/>
    <cellStyle name="Normal 2 2 2 2 2 2 24 3 2 8" xfId="2021"/>
    <cellStyle name="Normal 2 2 2 2 2 2 24 3 2 9" xfId="2022"/>
    <cellStyle name="Normal 2 2 2 2 2 2 24 3 3" xfId="2023"/>
    <cellStyle name="Normal 2 2 2 2 2 2 24 3 3 10" xfId="2024"/>
    <cellStyle name="Normal 2 2 2 2 2 2 24 3 3 11" xfId="2025"/>
    <cellStyle name="Normal 2 2 2 2 2 2 24 3 3 2" xfId="2026"/>
    <cellStyle name="Normal 2 2 2 2 2 2 24 3 3 2 2" xfId="2027"/>
    <cellStyle name="Normal 2 2 2 2 2 2 24 3 3 3" xfId="2028"/>
    <cellStyle name="Normal 2 2 2 2 2 2 24 3 3 4" xfId="2029"/>
    <cellStyle name="Normal 2 2 2 2 2 2 24 3 3 5" xfId="2030"/>
    <cellStyle name="Normal 2 2 2 2 2 2 24 3 3 6" xfId="2031"/>
    <cellStyle name="Normal 2 2 2 2 2 2 24 3 3 7" xfId="2032"/>
    <cellStyle name="Normal 2 2 2 2 2 2 24 3 3 8" xfId="2033"/>
    <cellStyle name="Normal 2 2 2 2 2 2 24 3 3 9" xfId="2034"/>
    <cellStyle name="Normal 2 2 2 2 2 2 24 3 4" xfId="2035"/>
    <cellStyle name="Normal 2 2 2 2 2 2 24 3 4 2" xfId="2036"/>
    <cellStyle name="Normal 2 2 2 2 2 2 24 3 5" xfId="2037"/>
    <cellStyle name="Normal 2 2 2 2 2 2 24 3 6" xfId="2038"/>
    <cellStyle name="Normal 2 2 2 2 2 2 24 3 7" xfId="2039"/>
    <cellStyle name="Normal 2 2 2 2 2 2 24 3 8" xfId="2040"/>
    <cellStyle name="Normal 2 2 2 2 2 2 24 3 9" xfId="2041"/>
    <cellStyle name="Normal 2 2 2 2 2 2 24 4" xfId="2042"/>
    <cellStyle name="Normal 2 2 2 2 2 2 24 4 10" xfId="2043"/>
    <cellStyle name="Normal 2 2 2 2 2 2 24 4 11" xfId="2044"/>
    <cellStyle name="Normal 2 2 2 2 2 2 24 4 2" xfId="2045"/>
    <cellStyle name="Normal 2 2 2 2 2 2 24 4 2 10" xfId="2046"/>
    <cellStyle name="Normal 2 2 2 2 2 2 24 4 2 11" xfId="2047"/>
    <cellStyle name="Normal 2 2 2 2 2 2 24 4 2 2" xfId="2048"/>
    <cellStyle name="Normal 2 2 2 2 2 2 24 4 2 2 2" xfId="2049"/>
    <cellStyle name="Normal 2 2 2 2 2 2 24 4 2 3" xfId="2050"/>
    <cellStyle name="Normal 2 2 2 2 2 2 24 4 2 4" xfId="2051"/>
    <cellStyle name="Normal 2 2 2 2 2 2 24 4 2 5" xfId="2052"/>
    <cellStyle name="Normal 2 2 2 2 2 2 24 4 2 6" xfId="2053"/>
    <cellStyle name="Normal 2 2 2 2 2 2 24 4 2 7" xfId="2054"/>
    <cellStyle name="Normal 2 2 2 2 2 2 24 4 2 8" xfId="2055"/>
    <cellStyle name="Normal 2 2 2 2 2 2 24 4 2 9" xfId="2056"/>
    <cellStyle name="Normal 2 2 2 2 2 2 24 4 3" xfId="2057"/>
    <cellStyle name="Normal 2 2 2 2 2 2 24 4 3 2" xfId="2058"/>
    <cellStyle name="Normal 2 2 2 2 2 2 24 4 4" xfId="2059"/>
    <cellStyle name="Normal 2 2 2 2 2 2 24 4 5" xfId="2060"/>
    <cellStyle name="Normal 2 2 2 2 2 2 24 4 6" xfId="2061"/>
    <cellStyle name="Normal 2 2 2 2 2 2 24 4 7" xfId="2062"/>
    <cellStyle name="Normal 2 2 2 2 2 2 24 4 8" xfId="2063"/>
    <cellStyle name="Normal 2 2 2 2 2 2 24 4 9" xfId="2064"/>
    <cellStyle name="Normal 2 2 2 2 2 2 24 5" xfId="2065"/>
    <cellStyle name="Normal 2 2 2 2 2 2 24 5 2" xfId="2066"/>
    <cellStyle name="Normal 2 2 2 2 2 2 24 6" xfId="2067"/>
    <cellStyle name="Normal 2 2 2 2 2 2 24 7" xfId="2068"/>
    <cellStyle name="Normal 2 2 2 2 2 2 24 8" xfId="2069"/>
    <cellStyle name="Normal 2 2 2 2 2 2 24 9" xfId="2070"/>
    <cellStyle name="Normal 2 2 2 2 2 2 25" xfId="2071"/>
    <cellStyle name="Normal 2 2 2 2 2 2 25 10" xfId="2072"/>
    <cellStyle name="Normal 2 2 2 2 2 2 25 11" xfId="2073"/>
    <cellStyle name="Normal 2 2 2 2 2 2 25 12" xfId="2074"/>
    <cellStyle name="Normal 2 2 2 2 2 2 25 13" xfId="2075"/>
    <cellStyle name="Normal 2 2 2 2 2 2 25 2" xfId="2076"/>
    <cellStyle name="Normal 2 2 2 2 2 2 25 2 10" xfId="2077"/>
    <cellStyle name="Normal 2 2 2 2 2 2 25 2 11" xfId="2078"/>
    <cellStyle name="Normal 2 2 2 2 2 2 25 2 12" xfId="2079"/>
    <cellStyle name="Normal 2 2 2 2 2 2 25 2 2" xfId="2080"/>
    <cellStyle name="Normal 2 2 2 2 2 2 25 2 2 10" xfId="2081"/>
    <cellStyle name="Normal 2 2 2 2 2 2 25 2 2 11" xfId="2082"/>
    <cellStyle name="Normal 2 2 2 2 2 2 25 2 2 12" xfId="2083"/>
    <cellStyle name="Normal 2 2 2 2 2 2 25 2 2 2" xfId="2084"/>
    <cellStyle name="Normal 2 2 2 2 2 2 25 2 2 2 10" xfId="2085"/>
    <cellStyle name="Normal 2 2 2 2 2 2 25 2 2 2 11" xfId="2086"/>
    <cellStyle name="Normal 2 2 2 2 2 2 25 2 2 2 2" xfId="2087"/>
    <cellStyle name="Normal 2 2 2 2 2 2 25 2 2 2 2 10" xfId="2088"/>
    <cellStyle name="Normal 2 2 2 2 2 2 25 2 2 2 2 11" xfId="2089"/>
    <cellStyle name="Normal 2 2 2 2 2 2 25 2 2 2 2 2" xfId="2090"/>
    <cellStyle name="Normal 2 2 2 2 2 2 25 2 2 2 2 2 2" xfId="2091"/>
    <cellStyle name="Normal 2 2 2 2 2 2 25 2 2 2 2 3" xfId="2092"/>
    <cellStyle name="Normal 2 2 2 2 2 2 25 2 2 2 2 4" xfId="2093"/>
    <cellStyle name="Normal 2 2 2 2 2 2 25 2 2 2 2 5" xfId="2094"/>
    <cellStyle name="Normal 2 2 2 2 2 2 25 2 2 2 2 6" xfId="2095"/>
    <cellStyle name="Normal 2 2 2 2 2 2 25 2 2 2 2 7" xfId="2096"/>
    <cellStyle name="Normal 2 2 2 2 2 2 25 2 2 2 2 8" xfId="2097"/>
    <cellStyle name="Normal 2 2 2 2 2 2 25 2 2 2 2 9" xfId="2098"/>
    <cellStyle name="Normal 2 2 2 2 2 2 25 2 2 2 3" xfId="2099"/>
    <cellStyle name="Normal 2 2 2 2 2 2 25 2 2 2 3 2" xfId="2100"/>
    <cellStyle name="Normal 2 2 2 2 2 2 25 2 2 2 4" xfId="2101"/>
    <cellStyle name="Normal 2 2 2 2 2 2 25 2 2 2 5" xfId="2102"/>
    <cellStyle name="Normal 2 2 2 2 2 2 25 2 2 2 6" xfId="2103"/>
    <cellStyle name="Normal 2 2 2 2 2 2 25 2 2 2 7" xfId="2104"/>
    <cellStyle name="Normal 2 2 2 2 2 2 25 2 2 2 8" xfId="2105"/>
    <cellStyle name="Normal 2 2 2 2 2 2 25 2 2 2 9" xfId="2106"/>
    <cellStyle name="Normal 2 2 2 2 2 2 25 2 2 3" xfId="2107"/>
    <cellStyle name="Normal 2 2 2 2 2 2 25 2 2 3 2" xfId="2108"/>
    <cellStyle name="Normal 2 2 2 2 2 2 25 2 2 4" xfId="2109"/>
    <cellStyle name="Normal 2 2 2 2 2 2 25 2 2 5" xfId="2110"/>
    <cellStyle name="Normal 2 2 2 2 2 2 25 2 2 6" xfId="2111"/>
    <cellStyle name="Normal 2 2 2 2 2 2 25 2 2 7" xfId="2112"/>
    <cellStyle name="Normal 2 2 2 2 2 2 25 2 2 8" xfId="2113"/>
    <cellStyle name="Normal 2 2 2 2 2 2 25 2 2 9" xfId="2114"/>
    <cellStyle name="Normal 2 2 2 2 2 2 25 2 3" xfId="2115"/>
    <cellStyle name="Normal 2 2 2 2 2 2 25 2 3 10" xfId="2116"/>
    <cellStyle name="Normal 2 2 2 2 2 2 25 2 3 11" xfId="2117"/>
    <cellStyle name="Normal 2 2 2 2 2 2 25 2 3 2" xfId="2118"/>
    <cellStyle name="Normal 2 2 2 2 2 2 25 2 3 2 2" xfId="2119"/>
    <cellStyle name="Normal 2 2 2 2 2 2 25 2 3 3" xfId="2120"/>
    <cellStyle name="Normal 2 2 2 2 2 2 25 2 3 4" xfId="2121"/>
    <cellStyle name="Normal 2 2 2 2 2 2 25 2 3 5" xfId="2122"/>
    <cellStyle name="Normal 2 2 2 2 2 2 25 2 3 6" xfId="2123"/>
    <cellStyle name="Normal 2 2 2 2 2 2 25 2 3 7" xfId="2124"/>
    <cellStyle name="Normal 2 2 2 2 2 2 25 2 3 8" xfId="2125"/>
    <cellStyle name="Normal 2 2 2 2 2 2 25 2 3 9" xfId="2126"/>
    <cellStyle name="Normal 2 2 2 2 2 2 25 2 4" xfId="2127"/>
    <cellStyle name="Normal 2 2 2 2 2 2 25 2 4 2" xfId="2128"/>
    <cellStyle name="Normal 2 2 2 2 2 2 25 2 5" xfId="2129"/>
    <cellStyle name="Normal 2 2 2 2 2 2 25 2 6" xfId="2130"/>
    <cellStyle name="Normal 2 2 2 2 2 2 25 2 7" xfId="2131"/>
    <cellStyle name="Normal 2 2 2 2 2 2 25 2 8" xfId="2132"/>
    <cellStyle name="Normal 2 2 2 2 2 2 25 2 9" xfId="2133"/>
    <cellStyle name="Normal 2 2 2 2 2 2 25 3" xfId="2134"/>
    <cellStyle name="Normal 2 2 2 2 2 2 25 3 10" xfId="2135"/>
    <cellStyle name="Normal 2 2 2 2 2 2 25 3 11" xfId="2136"/>
    <cellStyle name="Normal 2 2 2 2 2 2 25 3 2" xfId="2137"/>
    <cellStyle name="Normal 2 2 2 2 2 2 25 3 2 10" xfId="2138"/>
    <cellStyle name="Normal 2 2 2 2 2 2 25 3 2 11" xfId="2139"/>
    <cellStyle name="Normal 2 2 2 2 2 2 25 3 2 2" xfId="2140"/>
    <cellStyle name="Normal 2 2 2 2 2 2 25 3 2 2 2" xfId="2141"/>
    <cellStyle name="Normal 2 2 2 2 2 2 25 3 2 3" xfId="2142"/>
    <cellStyle name="Normal 2 2 2 2 2 2 25 3 2 4" xfId="2143"/>
    <cellStyle name="Normal 2 2 2 2 2 2 25 3 2 5" xfId="2144"/>
    <cellStyle name="Normal 2 2 2 2 2 2 25 3 2 6" xfId="2145"/>
    <cellStyle name="Normal 2 2 2 2 2 2 25 3 2 7" xfId="2146"/>
    <cellStyle name="Normal 2 2 2 2 2 2 25 3 2 8" xfId="2147"/>
    <cellStyle name="Normal 2 2 2 2 2 2 25 3 2 9" xfId="2148"/>
    <cellStyle name="Normal 2 2 2 2 2 2 25 3 3" xfId="2149"/>
    <cellStyle name="Normal 2 2 2 2 2 2 25 3 3 2" xfId="2150"/>
    <cellStyle name="Normal 2 2 2 2 2 2 25 3 4" xfId="2151"/>
    <cellStyle name="Normal 2 2 2 2 2 2 25 3 5" xfId="2152"/>
    <cellStyle name="Normal 2 2 2 2 2 2 25 3 6" xfId="2153"/>
    <cellStyle name="Normal 2 2 2 2 2 2 25 3 7" xfId="2154"/>
    <cellStyle name="Normal 2 2 2 2 2 2 25 3 8" xfId="2155"/>
    <cellStyle name="Normal 2 2 2 2 2 2 25 3 9" xfId="2156"/>
    <cellStyle name="Normal 2 2 2 2 2 2 25 4" xfId="2157"/>
    <cellStyle name="Normal 2 2 2 2 2 2 25 4 2" xfId="2158"/>
    <cellStyle name="Normal 2 2 2 2 2 2 25 5" xfId="2159"/>
    <cellStyle name="Normal 2 2 2 2 2 2 25 6" xfId="2160"/>
    <cellStyle name="Normal 2 2 2 2 2 2 25 7" xfId="2161"/>
    <cellStyle name="Normal 2 2 2 2 2 2 25 8" xfId="2162"/>
    <cellStyle name="Normal 2 2 2 2 2 2 25 9" xfId="2163"/>
    <cellStyle name="Normal 2 2 2 2 2 2 26" xfId="2164"/>
    <cellStyle name="Normal 2 2 2 2 2 2 26 10" xfId="2165"/>
    <cellStyle name="Normal 2 2 2 2 2 2 26 11" xfId="2166"/>
    <cellStyle name="Normal 2 2 2 2 2 2 26 12" xfId="2167"/>
    <cellStyle name="Normal 2 2 2 2 2 2 26 2" xfId="2168"/>
    <cellStyle name="Normal 2 2 2 2 2 2 26 2 10" xfId="2169"/>
    <cellStyle name="Normal 2 2 2 2 2 2 26 2 11" xfId="2170"/>
    <cellStyle name="Normal 2 2 2 2 2 2 26 2 2" xfId="2171"/>
    <cellStyle name="Normal 2 2 2 2 2 2 26 2 2 10" xfId="2172"/>
    <cellStyle name="Normal 2 2 2 2 2 2 26 2 2 11" xfId="2173"/>
    <cellStyle name="Normal 2 2 2 2 2 2 26 2 2 2" xfId="2174"/>
    <cellStyle name="Normal 2 2 2 2 2 2 26 2 2 2 2" xfId="2175"/>
    <cellStyle name="Normal 2 2 2 2 2 2 26 2 2 3" xfId="2176"/>
    <cellStyle name="Normal 2 2 2 2 2 2 26 2 2 4" xfId="2177"/>
    <cellStyle name="Normal 2 2 2 2 2 2 26 2 2 5" xfId="2178"/>
    <cellStyle name="Normal 2 2 2 2 2 2 26 2 2 6" xfId="2179"/>
    <cellStyle name="Normal 2 2 2 2 2 2 26 2 2 7" xfId="2180"/>
    <cellStyle name="Normal 2 2 2 2 2 2 26 2 2 8" xfId="2181"/>
    <cellStyle name="Normal 2 2 2 2 2 2 26 2 2 9" xfId="2182"/>
    <cellStyle name="Normal 2 2 2 2 2 2 26 2 3" xfId="2183"/>
    <cellStyle name="Normal 2 2 2 2 2 2 26 2 3 2" xfId="2184"/>
    <cellStyle name="Normal 2 2 2 2 2 2 26 2 4" xfId="2185"/>
    <cellStyle name="Normal 2 2 2 2 2 2 26 2 5" xfId="2186"/>
    <cellStyle name="Normal 2 2 2 2 2 2 26 2 6" xfId="2187"/>
    <cellStyle name="Normal 2 2 2 2 2 2 26 2 7" xfId="2188"/>
    <cellStyle name="Normal 2 2 2 2 2 2 26 2 8" xfId="2189"/>
    <cellStyle name="Normal 2 2 2 2 2 2 26 2 9" xfId="2190"/>
    <cellStyle name="Normal 2 2 2 2 2 2 26 3" xfId="2191"/>
    <cellStyle name="Normal 2 2 2 2 2 2 26 3 2" xfId="2192"/>
    <cellStyle name="Normal 2 2 2 2 2 2 26 4" xfId="2193"/>
    <cellStyle name="Normal 2 2 2 2 2 2 26 5" xfId="2194"/>
    <cellStyle name="Normal 2 2 2 2 2 2 26 6" xfId="2195"/>
    <cellStyle name="Normal 2 2 2 2 2 2 26 7" xfId="2196"/>
    <cellStyle name="Normal 2 2 2 2 2 2 26 8" xfId="2197"/>
    <cellStyle name="Normal 2 2 2 2 2 2 26 9" xfId="2198"/>
    <cellStyle name="Normal 2 2 2 2 2 2 27" xfId="2199"/>
    <cellStyle name="Normal 2 2 2 2 2 2 27 10" xfId="2200"/>
    <cellStyle name="Normal 2 2 2 2 2 2 27 11" xfId="2201"/>
    <cellStyle name="Normal 2 2 2 2 2 2 27 2" xfId="2202"/>
    <cellStyle name="Normal 2 2 2 2 2 2 27 2 2" xfId="2203"/>
    <cellStyle name="Normal 2 2 2 2 2 2 27 3" xfId="2204"/>
    <cellStyle name="Normal 2 2 2 2 2 2 27 4" xfId="2205"/>
    <cellStyle name="Normal 2 2 2 2 2 2 27 5" xfId="2206"/>
    <cellStyle name="Normal 2 2 2 2 2 2 27 6" xfId="2207"/>
    <cellStyle name="Normal 2 2 2 2 2 2 27 7" xfId="2208"/>
    <cellStyle name="Normal 2 2 2 2 2 2 27 8" xfId="2209"/>
    <cellStyle name="Normal 2 2 2 2 2 2 27 9" xfId="2210"/>
    <cellStyle name="Normal 2 2 2 2 2 2 28" xfId="2211"/>
    <cellStyle name="Normal 2 2 2 2 2 2 28 2" xfId="2212"/>
    <cellStyle name="Normal 2 2 2 2 2 2 29" xfId="2213"/>
    <cellStyle name="Normal 2 2 2 2 2 2 3" xfId="2214"/>
    <cellStyle name="Normal 2 2 2 2 2 2 30" xfId="2215"/>
    <cellStyle name="Normal 2 2 2 2 2 2 31" xfId="2216"/>
    <cellStyle name="Normal 2 2 2 2 2 2 32" xfId="2217"/>
    <cellStyle name="Normal 2 2 2 2 2 2 33" xfId="2218"/>
    <cellStyle name="Normal 2 2 2 2 2 2 34" xfId="2219"/>
    <cellStyle name="Normal 2 2 2 2 2 2 35" xfId="2220"/>
    <cellStyle name="Normal 2 2 2 2 2 2 36" xfId="2221"/>
    <cellStyle name="Normal 2 2 2 2 2 2 37" xfId="2222"/>
    <cellStyle name="Normal 2 2 2 2 2 2 37 2" xfId="2223"/>
    <cellStyle name="Normal 2 2 2 2 2 2 38" xfId="2224"/>
    <cellStyle name="Normal 2 2 2 2 2 2 39" xfId="2225"/>
    <cellStyle name="Normal 2 2 2 2 2 2 4" xfId="2226"/>
    <cellStyle name="Normal 2 2 2 2 2 2 4 2" xfId="2227"/>
    <cellStyle name="Normal 2 2 2 2 2 2 4 2 2" xfId="2228"/>
    <cellStyle name="Normal 2 2 2 2 2 2 40" xfId="2229"/>
    <cellStyle name="Normal 2 2 2 2 2 2 41" xfId="2230"/>
    <cellStyle name="Normal 2 2 2 2 2 2 41 2" xfId="2231"/>
    <cellStyle name="Normal 2 2 2 2 2 2 42" xfId="2232"/>
    <cellStyle name="Normal 2 2 2 2 2 2 43" xfId="2233"/>
    <cellStyle name="Normal 2 2 2 2 2 2 44" xfId="2234"/>
    <cellStyle name="Normal 2 2 2 2 2 2 5" xfId="2235"/>
    <cellStyle name="Normal 2 2 2 2 2 2 5 2" xfId="2236"/>
    <cellStyle name="Normal 2 2 2 2 2 2 6" xfId="2237"/>
    <cellStyle name="Normal 2 2 2 2 2 2 7" xfId="2238"/>
    <cellStyle name="Normal 2 2 2 2 2 2 8" xfId="2239"/>
    <cellStyle name="Normal 2 2 2 2 2 2 9" xfId="2240"/>
    <cellStyle name="Normal 2 2 2 2 2 20" xfId="2241"/>
    <cellStyle name="Normal 2 2 2 2 2 21" xfId="2242"/>
    <cellStyle name="Normal 2 2 2 2 2 22" xfId="2243"/>
    <cellStyle name="Normal 2 2 2 2 2 23" xfId="2244"/>
    <cellStyle name="Normal 2 2 2 2 2 23 10" xfId="2245"/>
    <cellStyle name="Normal 2 2 2 2 2 23 11" xfId="2246"/>
    <cellStyle name="Normal 2 2 2 2 2 23 12" xfId="2247"/>
    <cellStyle name="Normal 2 2 2 2 2 23 13" xfId="2248"/>
    <cellStyle name="Normal 2 2 2 2 2 23 14" xfId="2249"/>
    <cellStyle name="Normal 2 2 2 2 2 23 15" xfId="2250"/>
    <cellStyle name="Normal 2 2 2 2 2 23 2" xfId="2251"/>
    <cellStyle name="Normal 2 2 2 2 2 23 2 10" xfId="2252"/>
    <cellStyle name="Normal 2 2 2 2 2 23 2 11" xfId="2253"/>
    <cellStyle name="Normal 2 2 2 2 2 23 2 12" xfId="2254"/>
    <cellStyle name="Normal 2 2 2 2 2 23 2 13" xfId="2255"/>
    <cellStyle name="Normal 2 2 2 2 2 23 2 14" xfId="2256"/>
    <cellStyle name="Normal 2 2 2 2 2 23 2 2" xfId="2257"/>
    <cellStyle name="Normal 2 2 2 2 2 23 2 2 10" xfId="2258"/>
    <cellStyle name="Normal 2 2 2 2 2 23 2 2 11" xfId="2259"/>
    <cellStyle name="Normal 2 2 2 2 2 23 2 2 12" xfId="2260"/>
    <cellStyle name="Normal 2 2 2 2 2 23 2 2 13" xfId="2261"/>
    <cellStyle name="Normal 2 2 2 2 2 23 2 2 14" xfId="2262"/>
    <cellStyle name="Normal 2 2 2 2 2 23 2 2 2" xfId="2263"/>
    <cellStyle name="Normal 2 2 2 2 2 23 2 2 2 10" xfId="2264"/>
    <cellStyle name="Normal 2 2 2 2 2 23 2 2 2 11" xfId="2265"/>
    <cellStyle name="Normal 2 2 2 2 2 23 2 2 2 12" xfId="2266"/>
    <cellStyle name="Normal 2 2 2 2 2 23 2 2 2 13" xfId="2267"/>
    <cellStyle name="Normal 2 2 2 2 2 23 2 2 2 2" xfId="2268"/>
    <cellStyle name="Normal 2 2 2 2 2 23 2 2 2 2 10" xfId="2269"/>
    <cellStyle name="Normal 2 2 2 2 2 23 2 2 2 2 11" xfId="2270"/>
    <cellStyle name="Normal 2 2 2 2 2 23 2 2 2 2 12" xfId="2271"/>
    <cellStyle name="Normal 2 2 2 2 2 23 2 2 2 2 13" xfId="2272"/>
    <cellStyle name="Normal 2 2 2 2 2 23 2 2 2 2 2" xfId="2273"/>
    <cellStyle name="Normal 2 2 2 2 2 23 2 2 2 2 2 10" xfId="2274"/>
    <cellStyle name="Normal 2 2 2 2 2 23 2 2 2 2 2 11" xfId="2275"/>
    <cellStyle name="Normal 2 2 2 2 2 23 2 2 2 2 2 12" xfId="2276"/>
    <cellStyle name="Normal 2 2 2 2 2 23 2 2 2 2 2 2" xfId="2277"/>
    <cellStyle name="Normal 2 2 2 2 2 23 2 2 2 2 2 2 10" xfId="2278"/>
    <cellStyle name="Normal 2 2 2 2 2 23 2 2 2 2 2 2 11" xfId="2279"/>
    <cellStyle name="Normal 2 2 2 2 2 23 2 2 2 2 2 2 12" xfId="2280"/>
    <cellStyle name="Normal 2 2 2 2 2 23 2 2 2 2 2 2 2" xfId="2281"/>
    <cellStyle name="Normal 2 2 2 2 2 23 2 2 2 2 2 2 2 10" xfId="2282"/>
    <cellStyle name="Normal 2 2 2 2 2 23 2 2 2 2 2 2 2 11" xfId="2283"/>
    <cellStyle name="Normal 2 2 2 2 2 23 2 2 2 2 2 2 2 2" xfId="2284"/>
    <cellStyle name="Normal 2 2 2 2 2 23 2 2 2 2 2 2 2 2 10" xfId="2285"/>
    <cellStyle name="Normal 2 2 2 2 2 23 2 2 2 2 2 2 2 2 11" xfId="2286"/>
    <cellStyle name="Normal 2 2 2 2 2 23 2 2 2 2 2 2 2 2 2" xfId="2287"/>
    <cellStyle name="Normal 2 2 2 2 2 23 2 2 2 2 2 2 2 2 2 2" xfId="2288"/>
    <cellStyle name="Normal 2 2 2 2 2 23 2 2 2 2 2 2 2 2 3" xfId="2289"/>
    <cellStyle name="Normal 2 2 2 2 2 23 2 2 2 2 2 2 2 2 4" xfId="2290"/>
    <cellStyle name="Normal 2 2 2 2 2 23 2 2 2 2 2 2 2 2 5" xfId="2291"/>
    <cellStyle name="Normal 2 2 2 2 2 23 2 2 2 2 2 2 2 2 6" xfId="2292"/>
    <cellStyle name="Normal 2 2 2 2 2 23 2 2 2 2 2 2 2 2 7" xfId="2293"/>
    <cellStyle name="Normal 2 2 2 2 2 23 2 2 2 2 2 2 2 2 8" xfId="2294"/>
    <cellStyle name="Normal 2 2 2 2 2 23 2 2 2 2 2 2 2 2 9" xfId="2295"/>
    <cellStyle name="Normal 2 2 2 2 2 23 2 2 2 2 2 2 2 3" xfId="2296"/>
    <cellStyle name="Normal 2 2 2 2 2 23 2 2 2 2 2 2 2 3 2" xfId="2297"/>
    <cellStyle name="Normal 2 2 2 2 2 23 2 2 2 2 2 2 2 4" xfId="2298"/>
    <cellStyle name="Normal 2 2 2 2 2 23 2 2 2 2 2 2 2 5" xfId="2299"/>
    <cellStyle name="Normal 2 2 2 2 2 23 2 2 2 2 2 2 2 6" xfId="2300"/>
    <cellStyle name="Normal 2 2 2 2 2 23 2 2 2 2 2 2 2 7" xfId="2301"/>
    <cellStyle name="Normal 2 2 2 2 2 23 2 2 2 2 2 2 2 8" xfId="2302"/>
    <cellStyle name="Normal 2 2 2 2 2 23 2 2 2 2 2 2 2 9" xfId="2303"/>
    <cellStyle name="Normal 2 2 2 2 2 23 2 2 2 2 2 2 3" xfId="2304"/>
    <cellStyle name="Normal 2 2 2 2 2 23 2 2 2 2 2 2 3 2" xfId="2305"/>
    <cellStyle name="Normal 2 2 2 2 2 23 2 2 2 2 2 2 4" xfId="2306"/>
    <cellStyle name="Normal 2 2 2 2 2 23 2 2 2 2 2 2 5" xfId="2307"/>
    <cellStyle name="Normal 2 2 2 2 2 23 2 2 2 2 2 2 6" xfId="2308"/>
    <cellStyle name="Normal 2 2 2 2 2 23 2 2 2 2 2 2 7" xfId="2309"/>
    <cellStyle name="Normal 2 2 2 2 2 23 2 2 2 2 2 2 8" xfId="2310"/>
    <cellStyle name="Normal 2 2 2 2 2 23 2 2 2 2 2 2 9" xfId="2311"/>
    <cellStyle name="Normal 2 2 2 2 2 23 2 2 2 2 2 3" xfId="2312"/>
    <cellStyle name="Normal 2 2 2 2 2 23 2 2 2 2 2 3 10" xfId="2313"/>
    <cellStyle name="Normal 2 2 2 2 2 23 2 2 2 2 2 3 11" xfId="2314"/>
    <cellStyle name="Normal 2 2 2 2 2 23 2 2 2 2 2 3 2" xfId="2315"/>
    <cellStyle name="Normal 2 2 2 2 2 23 2 2 2 2 2 3 2 2" xfId="2316"/>
    <cellStyle name="Normal 2 2 2 2 2 23 2 2 2 2 2 3 3" xfId="2317"/>
    <cellStyle name="Normal 2 2 2 2 2 23 2 2 2 2 2 3 4" xfId="2318"/>
    <cellStyle name="Normal 2 2 2 2 2 23 2 2 2 2 2 3 5" xfId="2319"/>
    <cellStyle name="Normal 2 2 2 2 2 23 2 2 2 2 2 3 6" xfId="2320"/>
    <cellStyle name="Normal 2 2 2 2 2 23 2 2 2 2 2 3 7" xfId="2321"/>
    <cellStyle name="Normal 2 2 2 2 2 23 2 2 2 2 2 3 8" xfId="2322"/>
    <cellStyle name="Normal 2 2 2 2 2 23 2 2 2 2 2 3 9" xfId="2323"/>
    <cellStyle name="Normal 2 2 2 2 2 23 2 2 2 2 2 4" xfId="2324"/>
    <cellStyle name="Normal 2 2 2 2 2 23 2 2 2 2 2 4 2" xfId="2325"/>
    <cellStyle name="Normal 2 2 2 2 2 23 2 2 2 2 2 5" xfId="2326"/>
    <cellStyle name="Normal 2 2 2 2 2 23 2 2 2 2 2 6" xfId="2327"/>
    <cellStyle name="Normal 2 2 2 2 2 23 2 2 2 2 2 7" xfId="2328"/>
    <cellStyle name="Normal 2 2 2 2 2 23 2 2 2 2 2 8" xfId="2329"/>
    <cellStyle name="Normal 2 2 2 2 2 23 2 2 2 2 2 9" xfId="2330"/>
    <cellStyle name="Normal 2 2 2 2 2 23 2 2 2 2 3" xfId="2331"/>
    <cellStyle name="Normal 2 2 2 2 2 23 2 2 2 2 3 10" xfId="2332"/>
    <cellStyle name="Normal 2 2 2 2 2 23 2 2 2 2 3 11" xfId="2333"/>
    <cellStyle name="Normal 2 2 2 2 2 23 2 2 2 2 3 2" xfId="2334"/>
    <cellStyle name="Normal 2 2 2 2 2 23 2 2 2 2 3 2 10" xfId="2335"/>
    <cellStyle name="Normal 2 2 2 2 2 23 2 2 2 2 3 2 11" xfId="2336"/>
    <cellStyle name="Normal 2 2 2 2 2 23 2 2 2 2 3 2 2" xfId="2337"/>
    <cellStyle name="Normal 2 2 2 2 2 23 2 2 2 2 3 2 2 2" xfId="2338"/>
    <cellStyle name="Normal 2 2 2 2 2 23 2 2 2 2 3 2 3" xfId="2339"/>
    <cellStyle name="Normal 2 2 2 2 2 23 2 2 2 2 3 2 4" xfId="2340"/>
    <cellStyle name="Normal 2 2 2 2 2 23 2 2 2 2 3 2 5" xfId="2341"/>
    <cellStyle name="Normal 2 2 2 2 2 23 2 2 2 2 3 2 6" xfId="2342"/>
    <cellStyle name="Normal 2 2 2 2 2 23 2 2 2 2 3 2 7" xfId="2343"/>
    <cellStyle name="Normal 2 2 2 2 2 23 2 2 2 2 3 2 8" xfId="2344"/>
    <cellStyle name="Normal 2 2 2 2 2 23 2 2 2 2 3 2 9" xfId="2345"/>
    <cellStyle name="Normal 2 2 2 2 2 23 2 2 2 2 3 3" xfId="2346"/>
    <cellStyle name="Normal 2 2 2 2 2 23 2 2 2 2 3 3 2" xfId="2347"/>
    <cellStyle name="Normal 2 2 2 2 2 23 2 2 2 2 3 4" xfId="2348"/>
    <cellStyle name="Normal 2 2 2 2 2 23 2 2 2 2 3 5" xfId="2349"/>
    <cellStyle name="Normal 2 2 2 2 2 23 2 2 2 2 3 6" xfId="2350"/>
    <cellStyle name="Normal 2 2 2 2 2 23 2 2 2 2 3 7" xfId="2351"/>
    <cellStyle name="Normal 2 2 2 2 2 23 2 2 2 2 3 8" xfId="2352"/>
    <cellStyle name="Normal 2 2 2 2 2 23 2 2 2 2 3 9" xfId="2353"/>
    <cellStyle name="Normal 2 2 2 2 2 23 2 2 2 2 4" xfId="2354"/>
    <cellStyle name="Normal 2 2 2 2 2 23 2 2 2 2 4 2" xfId="2355"/>
    <cellStyle name="Normal 2 2 2 2 2 23 2 2 2 2 5" xfId="2356"/>
    <cellStyle name="Normal 2 2 2 2 2 23 2 2 2 2 6" xfId="2357"/>
    <cellStyle name="Normal 2 2 2 2 2 23 2 2 2 2 7" xfId="2358"/>
    <cellStyle name="Normal 2 2 2 2 2 23 2 2 2 2 8" xfId="2359"/>
    <cellStyle name="Normal 2 2 2 2 2 23 2 2 2 2 9" xfId="2360"/>
    <cellStyle name="Normal 2 2 2 2 2 23 2 2 2 3" xfId="2361"/>
    <cellStyle name="Normal 2 2 2 2 2 23 2 2 2 3 10" xfId="2362"/>
    <cellStyle name="Normal 2 2 2 2 2 23 2 2 2 3 11" xfId="2363"/>
    <cellStyle name="Normal 2 2 2 2 2 23 2 2 2 3 12" xfId="2364"/>
    <cellStyle name="Normal 2 2 2 2 2 23 2 2 2 3 2" xfId="2365"/>
    <cellStyle name="Normal 2 2 2 2 2 23 2 2 2 3 2 10" xfId="2366"/>
    <cellStyle name="Normal 2 2 2 2 2 23 2 2 2 3 2 11" xfId="2367"/>
    <cellStyle name="Normal 2 2 2 2 2 23 2 2 2 3 2 2" xfId="2368"/>
    <cellStyle name="Normal 2 2 2 2 2 23 2 2 2 3 2 2 10" xfId="2369"/>
    <cellStyle name="Normal 2 2 2 2 2 23 2 2 2 3 2 2 11" xfId="2370"/>
    <cellStyle name="Normal 2 2 2 2 2 23 2 2 2 3 2 2 2" xfId="2371"/>
    <cellStyle name="Normal 2 2 2 2 2 23 2 2 2 3 2 2 2 2" xfId="2372"/>
    <cellStyle name="Normal 2 2 2 2 2 23 2 2 2 3 2 2 3" xfId="2373"/>
    <cellStyle name="Normal 2 2 2 2 2 23 2 2 2 3 2 2 4" xfId="2374"/>
    <cellStyle name="Normal 2 2 2 2 2 23 2 2 2 3 2 2 5" xfId="2375"/>
    <cellStyle name="Normal 2 2 2 2 2 23 2 2 2 3 2 2 6" xfId="2376"/>
    <cellStyle name="Normal 2 2 2 2 2 23 2 2 2 3 2 2 7" xfId="2377"/>
    <cellStyle name="Normal 2 2 2 2 2 23 2 2 2 3 2 2 8" xfId="2378"/>
    <cellStyle name="Normal 2 2 2 2 2 23 2 2 2 3 2 2 9" xfId="2379"/>
    <cellStyle name="Normal 2 2 2 2 2 23 2 2 2 3 2 3" xfId="2380"/>
    <cellStyle name="Normal 2 2 2 2 2 23 2 2 2 3 2 3 2" xfId="2381"/>
    <cellStyle name="Normal 2 2 2 2 2 23 2 2 2 3 2 4" xfId="2382"/>
    <cellStyle name="Normal 2 2 2 2 2 23 2 2 2 3 2 5" xfId="2383"/>
    <cellStyle name="Normal 2 2 2 2 2 23 2 2 2 3 2 6" xfId="2384"/>
    <cellStyle name="Normal 2 2 2 2 2 23 2 2 2 3 2 7" xfId="2385"/>
    <cellStyle name="Normal 2 2 2 2 2 23 2 2 2 3 2 8" xfId="2386"/>
    <cellStyle name="Normal 2 2 2 2 2 23 2 2 2 3 2 9" xfId="2387"/>
    <cellStyle name="Normal 2 2 2 2 2 23 2 2 2 3 3" xfId="2388"/>
    <cellStyle name="Normal 2 2 2 2 2 23 2 2 2 3 3 2" xfId="2389"/>
    <cellStyle name="Normal 2 2 2 2 2 23 2 2 2 3 4" xfId="2390"/>
    <cellStyle name="Normal 2 2 2 2 2 23 2 2 2 3 5" xfId="2391"/>
    <cellStyle name="Normal 2 2 2 2 2 23 2 2 2 3 6" xfId="2392"/>
    <cellStyle name="Normal 2 2 2 2 2 23 2 2 2 3 7" xfId="2393"/>
    <cellStyle name="Normal 2 2 2 2 2 23 2 2 2 3 8" xfId="2394"/>
    <cellStyle name="Normal 2 2 2 2 2 23 2 2 2 3 9" xfId="2395"/>
    <cellStyle name="Normal 2 2 2 2 2 23 2 2 2 4" xfId="2396"/>
    <cellStyle name="Normal 2 2 2 2 2 23 2 2 2 4 10" xfId="2397"/>
    <cellStyle name="Normal 2 2 2 2 2 23 2 2 2 4 11" xfId="2398"/>
    <cellStyle name="Normal 2 2 2 2 2 23 2 2 2 4 2" xfId="2399"/>
    <cellStyle name="Normal 2 2 2 2 2 23 2 2 2 4 2 2" xfId="2400"/>
    <cellStyle name="Normal 2 2 2 2 2 23 2 2 2 4 3" xfId="2401"/>
    <cellStyle name="Normal 2 2 2 2 2 23 2 2 2 4 4" xfId="2402"/>
    <cellStyle name="Normal 2 2 2 2 2 23 2 2 2 4 5" xfId="2403"/>
    <cellStyle name="Normal 2 2 2 2 2 23 2 2 2 4 6" xfId="2404"/>
    <cellStyle name="Normal 2 2 2 2 2 23 2 2 2 4 7" xfId="2405"/>
    <cellStyle name="Normal 2 2 2 2 2 23 2 2 2 4 8" xfId="2406"/>
    <cellStyle name="Normal 2 2 2 2 2 23 2 2 2 4 9" xfId="2407"/>
    <cellStyle name="Normal 2 2 2 2 2 23 2 2 2 5" xfId="2408"/>
    <cellStyle name="Normal 2 2 2 2 2 23 2 2 2 5 2" xfId="2409"/>
    <cellStyle name="Normal 2 2 2 2 2 23 2 2 2 6" xfId="2410"/>
    <cellStyle name="Normal 2 2 2 2 2 23 2 2 2 7" xfId="2411"/>
    <cellStyle name="Normal 2 2 2 2 2 23 2 2 2 8" xfId="2412"/>
    <cellStyle name="Normal 2 2 2 2 2 23 2 2 2 9" xfId="2413"/>
    <cellStyle name="Normal 2 2 2 2 2 23 2 2 3" xfId="2414"/>
    <cellStyle name="Normal 2 2 2 2 2 23 2 2 3 10" xfId="2415"/>
    <cellStyle name="Normal 2 2 2 2 2 23 2 2 3 11" xfId="2416"/>
    <cellStyle name="Normal 2 2 2 2 2 23 2 2 3 12" xfId="2417"/>
    <cellStyle name="Normal 2 2 2 2 2 23 2 2 3 2" xfId="2418"/>
    <cellStyle name="Normal 2 2 2 2 2 23 2 2 3 2 10" xfId="2419"/>
    <cellStyle name="Normal 2 2 2 2 2 23 2 2 3 2 11" xfId="2420"/>
    <cellStyle name="Normal 2 2 2 2 2 23 2 2 3 2 12" xfId="2421"/>
    <cellStyle name="Normal 2 2 2 2 2 23 2 2 3 2 2" xfId="2422"/>
    <cellStyle name="Normal 2 2 2 2 2 23 2 2 3 2 2 10" xfId="2423"/>
    <cellStyle name="Normal 2 2 2 2 2 23 2 2 3 2 2 11" xfId="2424"/>
    <cellStyle name="Normal 2 2 2 2 2 23 2 2 3 2 2 2" xfId="2425"/>
    <cellStyle name="Normal 2 2 2 2 2 23 2 2 3 2 2 2 10" xfId="2426"/>
    <cellStyle name="Normal 2 2 2 2 2 23 2 2 3 2 2 2 11" xfId="2427"/>
    <cellStyle name="Normal 2 2 2 2 2 23 2 2 3 2 2 2 2" xfId="2428"/>
    <cellStyle name="Normal 2 2 2 2 2 23 2 2 3 2 2 2 2 2" xfId="2429"/>
    <cellStyle name="Normal 2 2 2 2 2 23 2 2 3 2 2 2 3" xfId="2430"/>
    <cellStyle name="Normal 2 2 2 2 2 23 2 2 3 2 2 2 4" xfId="2431"/>
    <cellStyle name="Normal 2 2 2 2 2 23 2 2 3 2 2 2 5" xfId="2432"/>
    <cellStyle name="Normal 2 2 2 2 2 23 2 2 3 2 2 2 6" xfId="2433"/>
    <cellStyle name="Normal 2 2 2 2 2 23 2 2 3 2 2 2 7" xfId="2434"/>
    <cellStyle name="Normal 2 2 2 2 2 23 2 2 3 2 2 2 8" xfId="2435"/>
    <cellStyle name="Normal 2 2 2 2 2 23 2 2 3 2 2 2 9" xfId="2436"/>
    <cellStyle name="Normal 2 2 2 2 2 23 2 2 3 2 2 3" xfId="2437"/>
    <cellStyle name="Normal 2 2 2 2 2 23 2 2 3 2 2 3 2" xfId="2438"/>
    <cellStyle name="Normal 2 2 2 2 2 23 2 2 3 2 2 4" xfId="2439"/>
    <cellStyle name="Normal 2 2 2 2 2 23 2 2 3 2 2 5" xfId="2440"/>
    <cellStyle name="Normal 2 2 2 2 2 23 2 2 3 2 2 6" xfId="2441"/>
    <cellStyle name="Normal 2 2 2 2 2 23 2 2 3 2 2 7" xfId="2442"/>
    <cellStyle name="Normal 2 2 2 2 2 23 2 2 3 2 2 8" xfId="2443"/>
    <cellStyle name="Normal 2 2 2 2 2 23 2 2 3 2 2 9" xfId="2444"/>
    <cellStyle name="Normal 2 2 2 2 2 23 2 2 3 2 3" xfId="2445"/>
    <cellStyle name="Normal 2 2 2 2 2 23 2 2 3 2 3 2" xfId="2446"/>
    <cellStyle name="Normal 2 2 2 2 2 23 2 2 3 2 4" xfId="2447"/>
    <cellStyle name="Normal 2 2 2 2 2 23 2 2 3 2 5" xfId="2448"/>
    <cellStyle name="Normal 2 2 2 2 2 23 2 2 3 2 6" xfId="2449"/>
    <cellStyle name="Normal 2 2 2 2 2 23 2 2 3 2 7" xfId="2450"/>
    <cellStyle name="Normal 2 2 2 2 2 23 2 2 3 2 8" xfId="2451"/>
    <cellStyle name="Normal 2 2 2 2 2 23 2 2 3 2 9" xfId="2452"/>
    <cellStyle name="Normal 2 2 2 2 2 23 2 2 3 3" xfId="2453"/>
    <cellStyle name="Normal 2 2 2 2 2 23 2 2 3 3 10" xfId="2454"/>
    <cellStyle name="Normal 2 2 2 2 2 23 2 2 3 3 11" xfId="2455"/>
    <cellStyle name="Normal 2 2 2 2 2 23 2 2 3 3 2" xfId="2456"/>
    <cellStyle name="Normal 2 2 2 2 2 23 2 2 3 3 2 2" xfId="2457"/>
    <cellStyle name="Normal 2 2 2 2 2 23 2 2 3 3 3" xfId="2458"/>
    <cellStyle name="Normal 2 2 2 2 2 23 2 2 3 3 4" xfId="2459"/>
    <cellStyle name="Normal 2 2 2 2 2 23 2 2 3 3 5" xfId="2460"/>
    <cellStyle name="Normal 2 2 2 2 2 23 2 2 3 3 6" xfId="2461"/>
    <cellStyle name="Normal 2 2 2 2 2 23 2 2 3 3 7" xfId="2462"/>
    <cellStyle name="Normal 2 2 2 2 2 23 2 2 3 3 8" xfId="2463"/>
    <cellStyle name="Normal 2 2 2 2 2 23 2 2 3 3 9" xfId="2464"/>
    <cellStyle name="Normal 2 2 2 2 2 23 2 2 3 4" xfId="2465"/>
    <cellStyle name="Normal 2 2 2 2 2 23 2 2 3 4 2" xfId="2466"/>
    <cellStyle name="Normal 2 2 2 2 2 23 2 2 3 5" xfId="2467"/>
    <cellStyle name="Normal 2 2 2 2 2 23 2 2 3 6" xfId="2468"/>
    <cellStyle name="Normal 2 2 2 2 2 23 2 2 3 7" xfId="2469"/>
    <cellStyle name="Normal 2 2 2 2 2 23 2 2 3 8" xfId="2470"/>
    <cellStyle name="Normal 2 2 2 2 2 23 2 2 3 9" xfId="2471"/>
    <cellStyle name="Normal 2 2 2 2 2 23 2 2 4" xfId="2472"/>
    <cellStyle name="Normal 2 2 2 2 2 23 2 2 4 10" xfId="2473"/>
    <cellStyle name="Normal 2 2 2 2 2 23 2 2 4 11" xfId="2474"/>
    <cellStyle name="Normal 2 2 2 2 2 23 2 2 4 2" xfId="2475"/>
    <cellStyle name="Normal 2 2 2 2 2 23 2 2 4 2 10" xfId="2476"/>
    <cellStyle name="Normal 2 2 2 2 2 23 2 2 4 2 11" xfId="2477"/>
    <cellStyle name="Normal 2 2 2 2 2 23 2 2 4 2 2" xfId="2478"/>
    <cellStyle name="Normal 2 2 2 2 2 23 2 2 4 2 2 2" xfId="2479"/>
    <cellStyle name="Normal 2 2 2 2 2 23 2 2 4 2 3" xfId="2480"/>
    <cellStyle name="Normal 2 2 2 2 2 23 2 2 4 2 4" xfId="2481"/>
    <cellStyle name="Normal 2 2 2 2 2 23 2 2 4 2 5" xfId="2482"/>
    <cellStyle name="Normal 2 2 2 2 2 23 2 2 4 2 6" xfId="2483"/>
    <cellStyle name="Normal 2 2 2 2 2 23 2 2 4 2 7" xfId="2484"/>
    <cellStyle name="Normal 2 2 2 2 2 23 2 2 4 2 8" xfId="2485"/>
    <cellStyle name="Normal 2 2 2 2 2 23 2 2 4 2 9" xfId="2486"/>
    <cellStyle name="Normal 2 2 2 2 2 23 2 2 4 3" xfId="2487"/>
    <cellStyle name="Normal 2 2 2 2 2 23 2 2 4 3 2" xfId="2488"/>
    <cellStyle name="Normal 2 2 2 2 2 23 2 2 4 4" xfId="2489"/>
    <cellStyle name="Normal 2 2 2 2 2 23 2 2 4 5" xfId="2490"/>
    <cellStyle name="Normal 2 2 2 2 2 23 2 2 4 6" xfId="2491"/>
    <cellStyle name="Normal 2 2 2 2 2 23 2 2 4 7" xfId="2492"/>
    <cellStyle name="Normal 2 2 2 2 2 23 2 2 4 8" xfId="2493"/>
    <cellStyle name="Normal 2 2 2 2 2 23 2 2 4 9" xfId="2494"/>
    <cellStyle name="Normal 2 2 2 2 2 23 2 2 5" xfId="2495"/>
    <cellStyle name="Normal 2 2 2 2 2 23 2 2 5 2" xfId="2496"/>
    <cellStyle name="Normal 2 2 2 2 2 23 2 2 6" xfId="2497"/>
    <cellStyle name="Normal 2 2 2 2 2 23 2 2 7" xfId="2498"/>
    <cellStyle name="Normal 2 2 2 2 2 23 2 2 8" xfId="2499"/>
    <cellStyle name="Normal 2 2 2 2 2 23 2 2 9" xfId="2500"/>
    <cellStyle name="Normal 2 2 2 2 2 23 2 3" xfId="2501"/>
    <cellStyle name="Normal 2 2 2 2 2 23 2 3 10" xfId="2502"/>
    <cellStyle name="Normal 2 2 2 2 2 23 2 3 11" xfId="2503"/>
    <cellStyle name="Normal 2 2 2 2 2 23 2 3 12" xfId="2504"/>
    <cellStyle name="Normal 2 2 2 2 2 23 2 3 13" xfId="2505"/>
    <cellStyle name="Normal 2 2 2 2 2 23 2 3 2" xfId="2506"/>
    <cellStyle name="Normal 2 2 2 2 2 23 2 3 2 10" xfId="2507"/>
    <cellStyle name="Normal 2 2 2 2 2 23 2 3 2 11" xfId="2508"/>
    <cellStyle name="Normal 2 2 2 2 2 23 2 3 2 12" xfId="2509"/>
    <cellStyle name="Normal 2 2 2 2 2 23 2 3 2 2" xfId="2510"/>
    <cellStyle name="Normal 2 2 2 2 2 23 2 3 2 2 10" xfId="2511"/>
    <cellStyle name="Normal 2 2 2 2 2 23 2 3 2 2 11" xfId="2512"/>
    <cellStyle name="Normal 2 2 2 2 2 23 2 3 2 2 12" xfId="2513"/>
    <cellStyle name="Normal 2 2 2 2 2 23 2 3 2 2 2" xfId="2514"/>
    <cellStyle name="Normal 2 2 2 2 2 23 2 3 2 2 2 10" xfId="2515"/>
    <cellStyle name="Normal 2 2 2 2 2 23 2 3 2 2 2 11" xfId="2516"/>
    <cellStyle name="Normal 2 2 2 2 2 23 2 3 2 2 2 2" xfId="2517"/>
    <cellStyle name="Normal 2 2 2 2 2 23 2 3 2 2 2 2 10" xfId="2518"/>
    <cellStyle name="Normal 2 2 2 2 2 23 2 3 2 2 2 2 11" xfId="2519"/>
    <cellStyle name="Normal 2 2 2 2 2 23 2 3 2 2 2 2 2" xfId="2520"/>
    <cellStyle name="Normal 2 2 2 2 2 23 2 3 2 2 2 2 2 2" xfId="2521"/>
    <cellStyle name="Normal 2 2 2 2 2 23 2 3 2 2 2 2 3" xfId="2522"/>
    <cellStyle name="Normal 2 2 2 2 2 23 2 3 2 2 2 2 4" xfId="2523"/>
    <cellStyle name="Normal 2 2 2 2 2 23 2 3 2 2 2 2 5" xfId="2524"/>
    <cellStyle name="Normal 2 2 2 2 2 23 2 3 2 2 2 2 6" xfId="2525"/>
    <cellStyle name="Normal 2 2 2 2 2 23 2 3 2 2 2 2 7" xfId="2526"/>
    <cellStyle name="Normal 2 2 2 2 2 23 2 3 2 2 2 2 8" xfId="2527"/>
    <cellStyle name="Normal 2 2 2 2 2 23 2 3 2 2 2 2 9" xfId="2528"/>
    <cellStyle name="Normal 2 2 2 2 2 23 2 3 2 2 2 3" xfId="2529"/>
    <cellStyle name="Normal 2 2 2 2 2 23 2 3 2 2 2 3 2" xfId="2530"/>
    <cellStyle name="Normal 2 2 2 2 2 23 2 3 2 2 2 4" xfId="2531"/>
    <cellStyle name="Normal 2 2 2 2 2 23 2 3 2 2 2 5" xfId="2532"/>
    <cellStyle name="Normal 2 2 2 2 2 23 2 3 2 2 2 6" xfId="2533"/>
    <cellStyle name="Normal 2 2 2 2 2 23 2 3 2 2 2 7" xfId="2534"/>
    <cellStyle name="Normal 2 2 2 2 2 23 2 3 2 2 2 8" xfId="2535"/>
    <cellStyle name="Normal 2 2 2 2 2 23 2 3 2 2 2 9" xfId="2536"/>
    <cellStyle name="Normal 2 2 2 2 2 23 2 3 2 2 3" xfId="2537"/>
    <cellStyle name="Normal 2 2 2 2 2 23 2 3 2 2 3 2" xfId="2538"/>
    <cellStyle name="Normal 2 2 2 2 2 23 2 3 2 2 4" xfId="2539"/>
    <cellStyle name="Normal 2 2 2 2 2 23 2 3 2 2 5" xfId="2540"/>
    <cellStyle name="Normal 2 2 2 2 2 23 2 3 2 2 6" xfId="2541"/>
    <cellStyle name="Normal 2 2 2 2 2 23 2 3 2 2 7" xfId="2542"/>
    <cellStyle name="Normal 2 2 2 2 2 23 2 3 2 2 8" xfId="2543"/>
    <cellStyle name="Normal 2 2 2 2 2 23 2 3 2 2 9" xfId="2544"/>
    <cellStyle name="Normal 2 2 2 2 2 23 2 3 2 3" xfId="2545"/>
    <cellStyle name="Normal 2 2 2 2 2 23 2 3 2 3 10" xfId="2546"/>
    <cellStyle name="Normal 2 2 2 2 2 23 2 3 2 3 11" xfId="2547"/>
    <cellStyle name="Normal 2 2 2 2 2 23 2 3 2 3 2" xfId="2548"/>
    <cellStyle name="Normal 2 2 2 2 2 23 2 3 2 3 2 2" xfId="2549"/>
    <cellStyle name="Normal 2 2 2 2 2 23 2 3 2 3 3" xfId="2550"/>
    <cellStyle name="Normal 2 2 2 2 2 23 2 3 2 3 4" xfId="2551"/>
    <cellStyle name="Normal 2 2 2 2 2 23 2 3 2 3 5" xfId="2552"/>
    <cellStyle name="Normal 2 2 2 2 2 23 2 3 2 3 6" xfId="2553"/>
    <cellStyle name="Normal 2 2 2 2 2 23 2 3 2 3 7" xfId="2554"/>
    <cellStyle name="Normal 2 2 2 2 2 23 2 3 2 3 8" xfId="2555"/>
    <cellStyle name="Normal 2 2 2 2 2 23 2 3 2 3 9" xfId="2556"/>
    <cellStyle name="Normal 2 2 2 2 2 23 2 3 2 4" xfId="2557"/>
    <cellStyle name="Normal 2 2 2 2 2 23 2 3 2 4 2" xfId="2558"/>
    <cellStyle name="Normal 2 2 2 2 2 23 2 3 2 5" xfId="2559"/>
    <cellStyle name="Normal 2 2 2 2 2 23 2 3 2 6" xfId="2560"/>
    <cellStyle name="Normal 2 2 2 2 2 23 2 3 2 7" xfId="2561"/>
    <cellStyle name="Normal 2 2 2 2 2 23 2 3 2 8" xfId="2562"/>
    <cellStyle name="Normal 2 2 2 2 2 23 2 3 2 9" xfId="2563"/>
    <cellStyle name="Normal 2 2 2 2 2 23 2 3 3" xfId="2564"/>
    <cellStyle name="Normal 2 2 2 2 2 23 2 3 3 10" xfId="2565"/>
    <cellStyle name="Normal 2 2 2 2 2 23 2 3 3 11" xfId="2566"/>
    <cellStyle name="Normal 2 2 2 2 2 23 2 3 3 2" xfId="2567"/>
    <cellStyle name="Normal 2 2 2 2 2 23 2 3 3 2 10" xfId="2568"/>
    <cellStyle name="Normal 2 2 2 2 2 23 2 3 3 2 11" xfId="2569"/>
    <cellStyle name="Normal 2 2 2 2 2 23 2 3 3 2 2" xfId="2570"/>
    <cellStyle name="Normal 2 2 2 2 2 23 2 3 3 2 2 2" xfId="2571"/>
    <cellStyle name="Normal 2 2 2 2 2 23 2 3 3 2 3" xfId="2572"/>
    <cellStyle name="Normal 2 2 2 2 2 23 2 3 3 2 4" xfId="2573"/>
    <cellStyle name="Normal 2 2 2 2 2 23 2 3 3 2 5" xfId="2574"/>
    <cellStyle name="Normal 2 2 2 2 2 23 2 3 3 2 6" xfId="2575"/>
    <cellStyle name="Normal 2 2 2 2 2 23 2 3 3 2 7" xfId="2576"/>
    <cellStyle name="Normal 2 2 2 2 2 23 2 3 3 2 8" xfId="2577"/>
    <cellStyle name="Normal 2 2 2 2 2 23 2 3 3 2 9" xfId="2578"/>
    <cellStyle name="Normal 2 2 2 2 2 23 2 3 3 3" xfId="2579"/>
    <cellStyle name="Normal 2 2 2 2 2 23 2 3 3 3 2" xfId="2580"/>
    <cellStyle name="Normal 2 2 2 2 2 23 2 3 3 4" xfId="2581"/>
    <cellStyle name="Normal 2 2 2 2 2 23 2 3 3 5" xfId="2582"/>
    <cellStyle name="Normal 2 2 2 2 2 23 2 3 3 6" xfId="2583"/>
    <cellStyle name="Normal 2 2 2 2 2 23 2 3 3 7" xfId="2584"/>
    <cellStyle name="Normal 2 2 2 2 2 23 2 3 3 8" xfId="2585"/>
    <cellStyle name="Normal 2 2 2 2 2 23 2 3 3 9" xfId="2586"/>
    <cellStyle name="Normal 2 2 2 2 2 23 2 3 4" xfId="2587"/>
    <cellStyle name="Normal 2 2 2 2 2 23 2 3 4 2" xfId="2588"/>
    <cellStyle name="Normal 2 2 2 2 2 23 2 3 5" xfId="2589"/>
    <cellStyle name="Normal 2 2 2 2 2 23 2 3 6" xfId="2590"/>
    <cellStyle name="Normal 2 2 2 2 2 23 2 3 7" xfId="2591"/>
    <cellStyle name="Normal 2 2 2 2 2 23 2 3 8" xfId="2592"/>
    <cellStyle name="Normal 2 2 2 2 2 23 2 3 9" xfId="2593"/>
    <cellStyle name="Normal 2 2 2 2 2 23 2 4" xfId="2594"/>
    <cellStyle name="Normal 2 2 2 2 2 23 2 4 10" xfId="2595"/>
    <cellStyle name="Normal 2 2 2 2 2 23 2 4 11" xfId="2596"/>
    <cellStyle name="Normal 2 2 2 2 2 23 2 4 12" xfId="2597"/>
    <cellStyle name="Normal 2 2 2 2 2 23 2 4 2" xfId="2598"/>
    <cellStyle name="Normal 2 2 2 2 2 23 2 4 2 10" xfId="2599"/>
    <cellStyle name="Normal 2 2 2 2 2 23 2 4 2 11" xfId="2600"/>
    <cellStyle name="Normal 2 2 2 2 2 23 2 4 2 2" xfId="2601"/>
    <cellStyle name="Normal 2 2 2 2 2 23 2 4 2 2 10" xfId="2602"/>
    <cellStyle name="Normal 2 2 2 2 2 23 2 4 2 2 11" xfId="2603"/>
    <cellStyle name="Normal 2 2 2 2 2 23 2 4 2 2 2" xfId="2604"/>
    <cellStyle name="Normal 2 2 2 2 2 23 2 4 2 2 2 2" xfId="2605"/>
    <cellStyle name="Normal 2 2 2 2 2 23 2 4 2 2 3" xfId="2606"/>
    <cellStyle name="Normal 2 2 2 2 2 23 2 4 2 2 4" xfId="2607"/>
    <cellStyle name="Normal 2 2 2 2 2 23 2 4 2 2 5" xfId="2608"/>
    <cellStyle name="Normal 2 2 2 2 2 23 2 4 2 2 6" xfId="2609"/>
    <cellStyle name="Normal 2 2 2 2 2 23 2 4 2 2 7" xfId="2610"/>
    <cellStyle name="Normal 2 2 2 2 2 23 2 4 2 2 8" xfId="2611"/>
    <cellStyle name="Normal 2 2 2 2 2 23 2 4 2 2 9" xfId="2612"/>
    <cellStyle name="Normal 2 2 2 2 2 23 2 4 2 3" xfId="2613"/>
    <cellStyle name="Normal 2 2 2 2 2 23 2 4 2 3 2" xfId="2614"/>
    <cellStyle name="Normal 2 2 2 2 2 23 2 4 2 4" xfId="2615"/>
    <cellStyle name="Normal 2 2 2 2 2 23 2 4 2 5" xfId="2616"/>
    <cellStyle name="Normal 2 2 2 2 2 23 2 4 2 6" xfId="2617"/>
    <cellStyle name="Normal 2 2 2 2 2 23 2 4 2 7" xfId="2618"/>
    <cellStyle name="Normal 2 2 2 2 2 23 2 4 2 8" xfId="2619"/>
    <cellStyle name="Normal 2 2 2 2 2 23 2 4 2 9" xfId="2620"/>
    <cellStyle name="Normal 2 2 2 2 2 23 2 4 3" xfId="2621"/>
    <cellStyle name="Normal 2 2 2 2 2 23 2 4 3 2" xfId="2622"/>
    <cellStyle name="Normal 2 2 2 2 2 23 2 4 4" xfId="2623"/>
    <cellStyle name="Normal 2 2 2 2 2 23 2 4 5" xfId="2624"/>
    <cellStyle name="Normal 2 2 2 2 2 23 2 4 6" xfId="2625"/>
    <cellStyle name="Normal 2 2 2 2 2 23 2 4 7" xfId="2626"/>
    <cellStyle name="Normal 2 2 2 2 2 23 2 4 8" xfId="2627"/>
    <cellStyle name="Normal 2 2 2 2 2 23 2 4 9" xfId="2628"/>
    <cellStyle name="Normal 2 2 2 2 2 23 2 5" xfId="2629"/>
    <cellStyle name="Normal 2 2 2 2 2 23 2 5 10" xfId="2630"/>
    <cellStyle name="Normal 2 2 2 2 2 23 2 5 11" xfId="2631"/>
    <cellStyle name="Normal 2 2 2 2 2 23 2 5 2" xfId="2632"/>
    <cellStyle name="Normal 2 2 2 2 2 23 2 5 2 2" xfId="2633"/>
    <cellStyle name="Normal 2 2 2 2 2 23 2 5 3" xfId="2634"/>
    <cellStyle name="Normal 2 2 2 2 2 23 2 5 4" xfId="2635"/>
    <cellStyle name="Normal 2 2 2 2 2 23 2 5 5" xfId="2636"/>
    <cellStyle name="Normal 2 2 2 2 2 23 2 5 6" xfId="2637"/>
    <cellStyle name="Normal 2 2 2 2 2 23 2 5 7" xfId="2638"/>
    <cellStyle name="Normal 2 2 2 2 2 23 2 5 8" xfId="2639"/>
    <cellStyle name="Normal 2 2 2 2 2 23 2 5 9" xfId="2640"/>
    <cellStyle name="Normal 2 2 2 2 2 23 2 6" xfId="2641"/>
    <cellStyle name="Normal 2 2 2 2 2 23 2 6 2" xfId="2642"/>
    <cellStyle name="Normal 2 2 2 2 2 23 2 7" xfId="2643"/>
    <cellStyle name="Normal 2 2 2 2 2 23 2 8" xfId="2644"/>
    <cellStyle name="Normal 2 2 2 2 2 23 2 9" xfId="2645"/>
    <cellStyle name="Normal 2 2 2 2 2 23 3" xfId="2646"/>
    <cellStyle name="Normal 2 2 2 2 2 23 3 10" xfId="2647"/>
    <cellStyle name="Normal 2 2 2 2 2 23 3 11" xfId="2648"/>
    <cellStyle name="Normal 2 2 2 2 2 23 3 12" xfId="2649"/>
    <cellStyle name="Normal 2 2 2 2 2 23 3 13" xfId="2650"/>
    <cellStyle name="Normal 2 2 2 2 2 23 3 2" xfId="2651"/>
    <cellStyle name="Normal 2 2 2 2 2 23 3 2 10" xfId="2652"/>
    <cellStyle name="Normal 2 2 2 2 2 23 3 2 11" xfId="2653"/>
    <cellStyle name="Normal 2 2 2 2 2 23 3 2 12" xfId="2654"/>
    <cellStyle name="Normal 2 2 2 2 2 23 3 2 13" xfId="2655"/>
    <cellStyle name="Normal 2 2 2 2 2 23 3 2 2" xfId="2656"/>
    <cellStyle name="Normal 2 2 2 2 2 23 3 2 2 10" xfId="2657"/>
    <cellStyle name="Normal 2 2 2 2 2 23 3 2 2 11" xfId="2658"/>
    <cellStyle name="Normal 2 2 2 2 2 23 3 2 2 12" xfId="2659"/>
    <cellStyle name="Normal 2 2 2 2 2 23 3 2 2 2" xfId="2660"/>
    <cellStyle name="Normal 2 2 2 2 2 23 3 2 2 2 10" xfId="2661"/>
    <cellStyle name="Normal 2 2 2 2 2 23 3 2 2 2 11" xfId="2662"/>
    <cellStyle name="Normal 2 2 2 2 2 23 3 2 2 2 12" xfId="2663"/>
    <cellStyle name="Normal 2 2 2 2 2 23 3 2 2 2 2" xfId="2664"/>
    <cellStyle name="Normal 2 2 2 2 2 23 3 2 2 2 2 10" xfId="2665"/>
    <cellStyle name="Normal 2 2 2 2 2 23 3 2 2 2 2 11" xfId="2666"/>
    <cellStyle name="Normal 2 2 2 2 2 23 3 2 2 2 2 2" xfId="2667"/>
    <cellStyle name="Normal 2 2 2 2 2 23 3 2 2 2 2 2 10" xfId="2668"/>
    <cellStyle name="Normal 2 2 2 2 2 23 3 2 2 2 2 2 11" xfId="2669"/>
    <cellStyle name="Normal 2 2 2 2 2 23 3 2 2 2 2 2 2" xfId="2670"/>
    <cellStyle name="Normal 2 2 2 2 2 23 3 2 2 2 2 2 2 2" xfId="2671"/>
    <cellStyle name="Normal 2 2 2 2 2 23 3 2 2 2 2 2 3" xfId="2672"/>
    <cellStyle name="Normal 2 2 2 2 2 23 3 2 2 2 2 2 4" xfId="2673"/>
    <cellStyle name="Normal 2 2 2 2 2 23 3 2 2 2 2 2 5" xfId="2674"/>
    <cellStyle name="Normal 2 2 2 2 2 23 3 2 2 2 2 2 6" xfId="2675"/>
    <cellStyle name="Normal 2 2 2 2 2 23 3 2 2 2 2 2 7" xfId="2676"/>
    <cellStyle name="Normal 2 2 2 2 2 23 3 2 2 2 2 2 8" xfId="2677"/>
    <cellStyle name="Normal 2 2 2 2 2 23 3 2 2 2 2 2 9" xfId="2678"/>
    <cellStyle name="Normal 2 2 2 2 2 23 3 2 2 2 2 3" xfId="2679"/>
    <cellStyle name="Normal 2 2 2 2 2 23 3 2 2 2 2 3 2" xfId="2680"/>
    <cellStyle name="Normal 2 2 2 2 2 23 3 2 2 2 2 4" xfId="2681"/>
    <cellStyle name="Normal 2 2 2 2 2 23 3 2 2 2 2 5" xfId="2682"/>
    <cellStyle name="Normal 2 2 2 2 2 23 3 2 2 2 2 6" xfId="2683"/>
    <cellStyle name="Normal 2 2 2 2 2 23 3 2 2 2 2 7" xfId="2684"/>
    <cellStyle name="Normal 2 2 2 2 2 23 3 2 2 2 2 8" xfId="2685"/>
    <cellStyle name="Normal 2 2 2 2 2 23 3 2 2 2 2 9" xfId="2686"/>
    <cellStyle name="Normal 2 2 2 2 2 23 3 2 2 2 3" xfId="2687"/>
    <cellStyle name="Normal 2 2 2 2 2 23 3 2 2 2 3 2" xfId="2688"/>
    <cellStyle name="Normal 2 2 2 2 2 23 3 2 2 2 4" xfId="2689"/>
    <cellStyle name="Normal 2 2 2 2 2 23 3 2 2 2 5" xfId="2690"/>
    <cellStyle name="Normal 2 2 2 2 2 23 3 2 2 2 6" xfId="2691"/>
    <cellStyle name="Normal 2 2 2 2 2 23 3 2 2 2 7" xfId="2692"/>
    <cellStyle name="Normal 2 2 2 2 2 23 3 2 2 2 8" xfId="2693"/>
    <cellStyle name="Normal 2 2 2 2 2 23 3 2 2 2 9" xfId="2694"/>
    <cellStyle name="Normal 2 2 2 2 2 23 3 2 2 3" xfId="2695"/>
    <cellStyle name="Normal 2 2 2 2 2 23 3 2 2 3 10" xfId="2696"/>
    <cellStyle name="Normal 2 2 2 2 2 23 3 2 2 3 11" xfId="2697"/>
    <cellStyle name="Normal 2 2 2 2 2 23 3 2 2 3 2" xfId="2698"/>
    <cellStyle name="Normal 2 2 2 2 2 23 3 2 2 3 2 2" xfId="2699"/>
    <cellStyle name="Normal 2 2 2 2 2 23 3 2 2 3 3" xfId="2700"/>
    <cellStyle name="Normal 2 2 2 2 2 23 3 2 2 3 4" xfId="2701"/>
    <cellStyle name="Normal 2 2 2 2 2 23 3 2 2 3 5" xfId="2702"/>
    <cellStyle name="Normal 2 2 2 2 2 23 3 2 2 3 6" xfId="2703"/>
    <cellStyle name="Normal 2 2 2 2 2 23 3 2 2 3 7" xfId="2704"/>
    <cellStyle name="Normal 2 2 2 2 2 23 3 2 2 3 8" xfId="2705"/>
    <cellStyle name="Normal 2 2 2 2 2 23 3 2 2 3 9" xfId="2706"/>
    <cellStyle name="Normal 2 2 2 2 2 23 3 2 2 4" xfId="2707"/>
    <cellStyle name="Normal 2 2 2 2 2 23 3 2 2 4 2" xfId="2708"/>
    <cellStyle name="Normal 2 2 2 2 2 23 3 2 2 5" xfId="2709"/>
    <cellStyle name="Normal 2 2 2 2 2 23 3 2 2 6" xfId="2710"/>
    <cellStyle name="Normal 2 2 2 2 2 23 3 2 2 7" xfId="2711"/>
    <cellStyle name="Normal 2 2 2 2 2 23 3 2 2 8" xfId="2712"/>
    <cellStyle name="Normal 2 2 2 2 2 23 3 2 2 9" xfId="2713"/>
    <cellStyle name="Normal 2 2 2 2 2 23 3 2 3" xfId="2714"/>
    <cellStyle name="Normal 2 2 2 2 2 23 3 2 3 10" xfId="2715"/>
    <cellStyle name="Normal 2 2 2 2 2 23 3 2 3 11" xfId="2716"/>
    <cellStyle name="Normal 2 2 2 2 2 23 3 2 3 2" xfId="2717"/>
    <cellStyle name="Normal 2 2 2 2 2 23 3 2 3 2 10" xfId="2718"/>
    <cellStyle name="Normal 2 2 2 2 2 23 3 2 3 2 11" xfId="2719"/>
    <cellStyle name="Normal 2 2 2 2 2 23 3 2 3 2 2" xfId="2720"/>
    <cellStyle name="Normal 2 2 2 2 2 23 3 2 3 2 2 2" xfId="2721"/>
    <cellStyle name="Normal 2 2 2 2 2 23 3 2 3 2 3" xfId="2722"/>
    <cellStyle name="Normal 2 2 2 2 2 23 3 2 3 2 4" xfId="2723"/>
    <cellStyle name="Normal 2 2 2 2 2 23 3 2 3 2 5" xfId="2724"/>
    <cellStyle name="Normal 2 2 2 2 2 23 3 2 3 2 6" xfId="2725"/>
    <cellStyle name="Normal 2 2 2 2 2 23 3 2 3 2 7" xfId="2726"/>
    <cellStyle name="Normal 2 2 2 2 2 23 3 2 3 2 8" xfId="2727"/>
    <cellStyle name="Normal 2 2 2 2 2 23 3 2 3 2 9" xfId="2728"/>
    <cellStyle name="Normal 2 2 2 2 2 23 3 2 3 3" xfId="2729"/>
    <cellStyle name="Normal 2 2 2 2 2 23 3 2 3 3 2" xfId="2730"/>
    <cellStyle name="Normal 2 2 2 2 2 23 3 2 3 4" xfId="2731"/>
    <cellStyle name="Normal 2 2 2 2 2 23 3 2 3 5" xfId="2732"/>
    <cellStyle name="Normal 2 2 2 2 2 23 3 2 3 6" xfId="2733"/>
    <cellStyle name="Normal 2 2 2 2 2 23 3 2 3 7" xfId="2734"/>
    <cellStyle name="Normal 2 2 2 2 2 23 3 2 3 8" xfId="2735"/>
    <cellStyle name="Normal 2 2 2 2 2 23 3 2 3 9" xfId="2736"/>
    <cellStyle name="Normal 2 2 2 2 2 23 3 2 4" xfId="2737"/>
    <cellStyle name="Normal 2 2 2 2 2 23 3 2 4 2" xfId="2738"/>
    <cellStyle name="Normal 2 2 2 2 2 23 3 2 5" xfId="2739"/>
    <cellStyle name="Normal 2 2 2 2 2 23 3 2 6" xfId="2740"/>
    <cellStyle name="Normal 2 2 2 2 2 23 3 2 7" xfId="2741"/>
    <cellStyle name="Normal 2 2 2 2 2 23 3 2 8" xfId="2742"/>
    <cellStyle name="Normal 2 2 2 2 2 23 3 2 9" xfId="2743"/>
    <cellStyle name="Normal 2 2 2 2 2 23 3 3" xfId="2744"/>
    <cellStyle name="Normal 2 2 2 2 2 23 3 3 10" xfId="2745"/>
    <cellStyle name="Normal 2 2 2 2 2 23 3 3 11" xfId="2746"/>
    <cellStyle name="Normal 2 2 2 2 2 23 3 3 12" xfId="2747"/>
    <cellStyle name="Normal 2 2 2 2 2 23 3 3 2" xfId="2748"/>
    <cellStyle name="Normal 2 2 2 2 2 23 3 3 2 10" xfId="2749"/>
    <cellStyle name="Normal 2 2 2 2 2 23 3 3 2 11" xfId="2750"/>
    <cellStyle name="Normal 2 2 2 2 2 23 3 3 2 2" xfId="2751"/>
    <cellStyle name="Normal 2 2 2 2 2 23 3 3 2 2 10" xfId="2752"/>
    <cellStyle name="Normal 2 2 2 2 2 23 3 3 2 2 11" xfId="2753"/>
    <cellStyle name="Normal 2 2 2 2 2 23 3 3 2 2 2" xfId="2754"/>
    <cellStyle name="Normal 2 2 2 2 2 23 3 3 2 2 2 2" xfId="2755"/>
    <cellStyle name="Normal 2 2 2 2 2 23 3 3 2 2 3" xfId="2756"/>
    <cellStyle name="Normal 2 2 2 2 2 23 3 3 2 2 4" xfId="2757"/>
    <cellStyle name="Normal 2 2 2 2 2 23 3 3 2 2 5" xfId="2758"/>
    <cellStyle name="Normal 2 2 2 2 2 23 3 3 2 2 6" xfId="2759"/>
    <cellStyle name="Normal 2 2 2 2 2 23 3 3 2 2 7" xfId="2760"/>
    <cellStyle name="Normal 2 2 2 2 2 23 3 3 2 2 8" xfId="2761"/>
    <cellStyle name="Normal 2 2 2 2 2 23 3 3 2 2 9" xfId="2762"/>
    <cellStyle name="Normal 2 2 2 2 2 23 3 3 2 3" xfId="2763"/>
    <cellStyle name="Normal 2 2 2 2 2 23 3 3 2 3 2" xfId="2764"/>
    <cellStyle name="Normal 2 2 2 2 2 23 3 3 2 4" xfId="2765"/>
    <cellStyle name="Normal 2 2 2 2 2 23 3 3 2 5" xfId="2766"/>
    <cellStyle name="Normal 2 2 2 2 2 23 3 3 2 6" xfId="2767"/>
    <cellStyle name="Normal 2 2 2 2 2 23 3 3 2 7" xfId="2768"/>
    <cellStyle name="Normal 2 2 2 2 2 23 3 3 2 8" xfId="2769"/>
    <cellStyle name="Normal 2 2 2 2 2 23 3 3 2 9" xfId="2770"/>
    <cellStyle name="Normal 2 2 2 2 2 23 3 3 3" xfId="2771"/>
    <cellStyle name="Normal 2 2 2 2 2 23 3 3 3 2" xfId="2772"/>
    <cellStyle name="Normal 2 2 2 2 2 23 3 3 4" xfId="2773"/>
    <cellStyle name="Normal 2 2 2 2 2 23 3 3 5" xfId="2774"/>
    <cellStyle name="Normal 2 2 2 2 2 23 3 3 6" xfId="2775"/>
    <cellStyle name="Normal 2 2 2 2 2 23 3 3 7" xfId="2776"/>
    <cellStyle name="Normal 2 2 2 2 2 23 3 3 8" xfId="2777"/>
    <cellStyle name="Normal 2 2 2 2 2 23 3 3 9" xfId="2778"/>
    <cellStyle name="Normal 2 2 2 2 2 23 3 4" xfId="2779"/>
    <cellStyle name="Normal 2 2 2 2 2 23 3 4 10" xfId="2780"/>
    <cellStyle name="Normal 2 2 2 2 2 23 3 4 11" xfId="2781"/>
    <cellStyle name="Normal 2 2 2 2 2 23 3 4 2" xfId="2782"/>
    <cellStyle name="Normal 2 2 2 2 2 23 3 4 2 2" xfId="2783"/>
    <cellStyle name="Normal 2 2 2 2 2 23 3 4 3" xfId="2784"/>
    <cellStyle name="Normal 2 2 2 2 2 23 3 4 4" xfId="2785"/>
    <cellStyle name="Normal 2 2 2 2 2 23 3 4 5" xfId="2786"/>
    <cellStyle name="Normal 2 2 2 2 2 23 3 4 6" xfId="2787"/>
    <cellStyle name="Normal 2 2 2 2 2 23 3 4 7" xfId="2788"/>
    <cellStyle name="Normal 2 2 2 2 2 23 3 4 8" xfId="2789"/>
    <cellStyle name="Normal 2 2 2 2 2 23 3 4 9" xfId="2790"/>
    <cellStyle name="Normal 2 2 2 2 2 23 3 5" xfId="2791"/>
    <cellStyle name="Normal 2 2 2 2 2 23 3 5 2" xfId="2792"/>
    <cellStyle name="Normal 2 2 2 2 2 23 3 6" xfId="2793"/>
    <cellStyle name="Normal 2 2 2 2 2 23 3 7" xfId="2794"/>
    <cellStyle name="Normal 2 2 2 2 2 23 3 8" xfId="2795"/>
    <cellStyle name="Normal 2 2 2 2 2 23 3 9" xfId="2796"/>
    <cellStyle name="Normal 2 2 2 2 2 23 4" xfId="2797"/>
    <cellStyle name="Normal 2 2 2 2 2 23 4 10" xfId="2798"/>
    <cellStyle name="Normal 2 2 2 2 2 23 4 11" xfId="2799"/>
    <cellStyle name="Normal 2 2 2 2 2 23 4 12" xfId="2800"/>
    <cellStyle name="Normal 2 2 2 2 2 23 4 2" xfId="2801"/>
    <cellStyle name="Normal 2 2 2 2 2 23 4 2 10" xfId="2802"/>
    <cellStyle name="Normal 2 2 2 2 2 23 4 2 11" xfId="2803"/>
    <cellStyle name="Normal 2 2 2 2 2 23 4 2 12" xfId="2804"/>
    <cellStyle name="Normal 2 2 2 2 2 23 4 2 2" xfId="2805"/>
    <cellStyle name="Normal 2 2 2 2 2 23 4 2 2 10" xfId="2806"/>
    <cellStyle name="Normal 2 2 2 2 2 23 4 2 2 11" xfId="2807"/>
    <cellStyle name="Normal 2 2 2 2 2 23 4 2 2 2" xfId="2808"/>
    <cellStyle name="Normal 2 2 2 2 2 23 4 2 2 2 10" xfId="2809"/>
    <cellStyle name="Normal 2 2 2 2 2 23 4 2 2 2 11" xfId="2810"/>
    <cellStyle name="Normal 2 2 2 2 2 23 4 2 2 2 2" xfId="2811"/>
    <cellStyle name="Normal 2 2 2 2 2 23 4 2 2 2 2 2" xfId="2812"/>
    <cellStyle name="Normal 2 2 2 2 2 23 4 2 2 2 3" xfId="2813"/>
    <cellStyle name="Normal 2 2 2 2 2 23 4 2 2 2 4" xfId="2814"/>
    <cellStyle name="Normal 2 2 2 2 2 23 4 2 2 2 5" xfId="2815"/>
    <cellStyle name="Normal 2 2 2 2 2 23 4 2 2 2 6" xfId="2816"/>
    <cellStyle name="Normal 2 2 2 2 2 23 4 2 2 2 7" xfId="2817"/>
    <cellStyle name="Normal 2 2 2 2 2 23 4 2 2 2 8" xfId="2818"/>
    <cellStyle name="Normal 2 2 2 2 2 23 4 2 2 2 9" xfId="2819"/>
    <cellStyle name="Normal 2 2 2 2 2 23 4 2 2 3" xfId="2820"/>
    <cellStyle name="Normal 2 2 2 2 2 23 4 2 2 3 2" xfId="2821"/>
    <cellStyle name="Normal 2 2 2 2 2 23 4 2 2 4" xfId="2822"/>
    <cellStyle name="Normal 2 2 2 2 2 23 4 2 2 5" xfId="2823"/>
    <cellStyle name="Normal 2 2 2 2 2 23 4 2 2 6" xfId="2824"/>
    <cellStyle name="Normal 2 2 2 2 2 23 4 2 2 7" xfId="2825"/>
    <cellStyle name="Normal 2 2 2 2 2 23 4 2 2 8" xfId="2826"/>
    <cellStyle name="Normal 2 2 2 2 2 23 4 2 2 9" xfId="2827"/>
    <cellStyle name="Normal 2 2 2 2 2 23 4 2 3" xfId="2828"/>
    <cellStyle name="Normal 2 2 2 2 2 23 4 2 3 2" xfId="2829"/>
    <cellStyle name="Normal 2 2 2 2 2 23 4 2 4" xfId="2830"/>
    <cellStyle name="Normal 2 2 2 2 2 23 4 2 5" xfId="2831"/>
    <cellStyle name="Normal 2 2 2 2 2 23 4 2 6" xfId="2832"/>
    <cellStyle name="Normal 2 2 2 2 2 23 4 2 7" xfId="2833"/>
    <cellStyle name="Normal 2 2 2 2 2 23 4 2 8" xfId="2834"/>
    <cellStyle name="Normal 2 2 2 2 2 23 4 2 9" xfId="2835"/>
    <cellStyle name="Normal 2 2 2 2 2 23 4 3" xfId="2836"/>
    <cellStyle name="Normal 2 2 2 2 2 23 4 3 10" xfId="2837"/>
    <cellStyle name="Normal 2 2 2 2 2 23 4 3 11" xfId="2838"/>
    <cellStyle name="Normal 2 2 2 2 2 23 4 3 2" xfId="2839"/>
    <cellStyle name="Normal 2 2 2 2 2 23 4 3 2 2" xfId="2840"/>
    <cellStyle name="Normal 2 2 2 2 2 23 4 3 3" xfId="2841"/>
    <cellStyle name="Normal 2 2 2 2 2 23 4 3 4" xfId="2842"/>
    <cellStyle name="Normal 2 2 2 2 2 23 4 3 5" xfId="2843"/>
    <cellStyle name="Normal 2 2 2 2 2 23 4 3 6" xfId="2844"/>
    <cellStyle name="Normal 2 2 2 2 2 23 4 3 7" xfId="2845"/>
    <cellStyle name="Normal 2 2 2 2 2 23 4 3 8" xfId="2846"/>
    <cellStyle name="Normal 2 2 2 2 2 23 4 3 9" xfId="2847"/>
    <cellStyle name="Normal 2 2 2 2 2 23 4 4" xfId="2848"/>
    <cellStyle name="Normal 2 2 2 2 2 23 4 4 2" xfId="2849"/>
    <cellStyle name="Normal 2 2 2 2 2 23 4 5" xfId="2850"/>
    <cellStyle name="Normal 2 2 2 2 2 23 4 6" xfId="2851"/>
    <cellStyle name="Normal 2 2 2 2 2 23 4 7" xfId="2852"/>
    <cellStyle name="Normal 2 2 2 2 2 23 4 8" xfId="2853"/>
    <cellStyle name="Normal 2 2 2 2 2 23 4 9" xfId="2854"/>
    <cellStyle name="Normal 2 2 2 2 2 23 5" xfId="2855"/>
    <cellStyle name="Normal 2 2 2 2 2 23 5 10" xfId="2856"/>
    <cellStyle name="Normal 2 2 2 2 2 23 5 11" xfId="2857"/>
    <cellStyle name="Normal 2 2 2 2 2 23 5 2" xfId="2858"/>
    <cellStyle name="Normal 2 2 2 2 2 23 5 2 10" xfId="2859"/>
    <cellStyle name="Normal 2 2 2 2 2 23 5 2 11" xfId="2860"/>
    <cellStyle name="Normal 2 2 2 2 2 23 5 2 2" xfId="2861"/>
    <cellStyle name="Normal 2 2 2 2 2 23 5 2 2 2" xfId="2862"/>
    <cellStyle name="Normal 2 2 2 2 2 23 5 2 3" xfId="2863"/>
    <cellStyle name="Normal 2 2 2 2 2 23 5 2 4" xfId="2864"/>
    <cellStyle name="Normal 2 2 2 2 2 23 5 2 5" xfId="2865"/>
    <cellStyle name="Normal 2 2 2 2 2 23 5 2 6" xfId="2866"/>
    <cellStyle name="Normal 2 2 2 2 2 23 5 2 7" xfId="2867"/>
    <cellStyle name="Normal 2 2 2 2 2 23 5 2 8" xfId="2868"/>
    <cellStyle name="Normal 2 2 2 2 2 23 5 2 9" xfId="2869"/>
    <cellStyle name="Normal 2 2 2 2 2 23 5 3" xfId="2870"/>
    <cellStyle name="Normal 2 2 2 2 2 23 5 3 2" xfId="2871"/>
    <cellStyle name="Normal 2 2 2 2 2 23 5 4" xfId="2872"/>
    <cellStyle name="Normal 2 2 2 2 2 23 5 5" xfId="2873"/>
    <cellStyle name="Normal 2 2 2 2 2 23 5 6" xfId="2874"/>
    <cellStyle name="Normal 2 2 2 2 2 23 5 7" xfId="2875"/>
    <cellStyle name="Normal 2 2 2 2 2 23 5 8" xfId="2876"/>
    <cellStyle name="Normal 2 2 2 2 2 23 5 9" xfId="2877"/>
    <cellStyle name="Normal 2 2 2 2 2 23 6" xfId="2878"/>
    <cellStyle name="Normal 2 2 2 2 2 23 6 2" xfId="2879"/>
    <cellStyle name="Normal 2 2 2 2 2 23 7" xfId="2880"/>
    <cellStyle name="Normal 2 2 2 2 2 23 8" xfId="2881"/>
    <cellStyle name="Normal 2 2 2 2 2 23 9" xfId="2882"/>
    <cellStyle name="Normal 2 2 2 2 2 24" xfId="2883"/>
    <cellStyle name="Normal 2 2 2 2 2 24 10" xfId="2884"/>
    <cellStyle name="Normal 2 2 2 2 2 24 11" xfId="2885"/>
    <cellStyle name="Normal 2 2 2 2 2 24 12" xfId="2886"/>
    <cellStyle name="Normal 2 2 2 2 2 24 13" xfId="2887"/>
    <cellStyle name="Normal 2 2 2 2 2 24 14" xfId="2888"/>
    <cellStyle name="Normal 2 2 2 2 2 24 2" xfId="2889"/>
    <cellStyle name="Normal 2 2 2 2 2 24 2 10" xfId="2890"/>
    <cellStyle name="Normal 2 2 2 2 2 24 2 11" xfId="2891"/>
    <cellStyle name="Normal 2 2 2 2 2 24 2 12" xfId="2892"/>
    <cellStyle name="Normal 2 2 2 2 2 24 2 13" xfId="2893"/>
    <cellStyle name="Normal 2 2 2 2 2 24 2 2" xfId="2894"/>
    <cellStyle name="Normal 2 2 2 2 2 24 2 2 10" xfId="2895"/>
    <cellStyle name="Normal 2 2 2 2 2 24 2 2 11" xfId="2896"/>
    <cellStyle name="Normal 2 2 2 2 2 24 2 2 12" xfId="2897"/>
    <cellStyle name="Normal 2 2 2 2 2 24 2 2 13" xfId="2898"/>
    <cellStyle name="Normal 2 2 2 2 2 24 2 2 2" xfId="2899"/>
    <cellStyle name="Normal 2 2 2 2 2 24 2 2 2 10" xfId="2900"/>
    <cellStyle name="Normal 2 2 2 2 2 24 2 2 2 11" xfId="2901"/>
    <cellStyle name="Normal 2 2 2 2 2 24 2 2 2 12" xfId="2902"/>
    <cellStyle name="Normal 2 2 2 2 2 24 2 2 2 2" xfId="2903"/>
    <cellStyle name="Normal 2 2 2 2 2 24 2 2 2 2 10" xfId="2904"/>
    <cellStyle name="Normal 2 2 2 2 2 24 2 2 2 2 11" xfId="2905"/>
    <cellStyle name="Normal 2 2 2 2 2 24 2 2 2 2 12" xfId="2906"/>
    <cellStyle name="Normal 2 2 2 2 2 24 2 2 2 2 2" xfId="2907"/>
    <cellStyle name="Normal 2 2 2 2 2 24 2 2 2 2 2 10" xfId="2908"/>
    <cellStyle name="Normal 2 2 2 2 2 24 2 2 2 2 2 11" xfId="2909"/>
    <cellStyle name="Normal 2 2 2 2 2 24 2 2 2 2 2 2" xfId="2910"/>
    <cellStyle name="Normal 2 2 2 2 2 24 2 2 2 2 2 2 10" xfId="2911"/>
    <cellStyle name="Normal 2 2 2 2 2 24 2 2 2 2 2 2 11" xfId="2912"/>
    <cellStyle name="Normal 2 2 2 2 2 24 2 2 2 2 2 2 2" xfId="2913"/>
    <cellStyle name="Normal 2 2 2 2 2 24 2 2 2 2 2 2 2 2" xfId="2914"/>
    <cellStyle name="Normal 2 2 2 2 2 24 2 2 2 2 2 2 3" xfId="2915"/>
    <cellStyle name="Normal 2 2 2 2 2 24 2 2 2 2 2 2 4" xfId="2916"/>
    <cellStyle name="Normal 2 2 2 2 2 24 2 2 2 2 2 2 5" xfId="2917"/>
    <cellStyle name="Normal 2 2 2 2 2 24 2 2 2 2 2 2 6" xfId="2918"/>
    <cellStyle name="Normal 2 2 2 2 2 24 2 2 2 2 2 2 7" xfId="2919"/>
    <cellStyle name="Normal 2 2 2 2 2 24 2 2 2 2 2 2 8" xfId="2920"/>
    <cellStyle name="Normal 2 2 2 2 2 24 2 2 2 2 2 2 9" xfId="2921"/>
    <cellStyle name="Normal 2 2 2 2 2 24 2 2 2 2 2 3" xfId="2922"/>
    <cellStyle name="Normal 2 2 2 2 2 24 2 2 2 2 2 3 2" xfId="2923"/>
    <cellStyle name="Normal 2 2 2 2 2 24 2 2 2 2 2 4" xfId="2924"/>
    <cellStyle name="Normal 2 2 2 2 2 24 2 2 2 2 2 5" xfId="2925"/>
    <cellStyle name="Normal 2 2 2 2 2 24 2 2 2 2 2 6" xfId="2926"/>
    <cellStyle name="Normal 2 2 2 2 2 24 2 2 2 2 2 7" xfId="2927"/>
    <cellStyle name="Normal 2 2 2 2 2 24 2 2 2 2 2 8" xfId="2928"/>
    <cellStyle name="Normal 2 2 2 2 2 24 2 2 2 2 2 9" xfId="2929"/>
    <cellStyle name="Normal 2 2 2 2 2 24 2 2 2 2 3" xfId="2930"/>
    <cellStyle name="Normal 2 2 2 2 2 24 2 2 2 2 3 2" xfId="2931"/>
    <cellStyle name="Normal 2 2 2 2 2 24 2 2 2 2 4" xfId="2932"/>
    <cellStyle name="Normal 2 2 2 2 2 24 2 2 2 2 5" xfId="2933"/>
    <cellStyle name="Normal 2 2 2 2 2 24 2 2 2 2 6" xfId="2934"/>
    <cellStyle name="Normal 2 2 2 2 2 24 2 2 2 2 7" xfId="2935"/>
    <cellStyle name="Normal 2 2 2 2 2 24 2 2 2 2 8" xfId="2936"/>
    <cellStyle name="Normal 2 2 2 2 2 24 2 2 2 2 9" xfId="2937"/>
    <cellStyle name="Normal 2 2 2 2 2 24 2 2 2 3" xfId="2938"/>
    <cellStyle name="Normal 2 2 2 2 2 24 2 2 2 3 10" xfId="2939"/>
    <cellStyle name="Normal 2 2 2 2 2 24 2 2 2 3 11" xfId="2940"/>
    <cellStyle name="Normal 2 2 2 2 2 24 2 2 2 3 2" xfId="2941"/>
    <cellStyle name="Normal 2 2 2 2 2 24 2 2 2 3 2 2" xfId="2942"/>
    <cellStyle name="Normal 2 2 2 2 2 24 2 2 2 3 3" xfId="2943"/>
    <cellStyle name="Normal 2 2 2 2 2 24 2 2 2 3 4" xfId="2944"/>
    <cellStyle name="Normal 2 2 2 2 2 24 2 2 2 3 5" xfId="2945"/>
    <cellStyle name="Normal 2 2 2 2 2 24 2 2 2 3 6" xfId="2946"/>
    <cellStyle name="Normal 2 2 2 2 2 24 2 2 2 3 7" xfId="2947"/>
    <cellStyle name="Normal 2 2 2 2 2 24 2 2 2 3 8" xfId="2948"/>
    <cellStyle name="Normal 2 2 2 2 2 24 2 2 2 3 9" xfId="2949"/>
    <cellStyle name="Normal 2 2 2 2 2 24 2 2 2 4" xfId="2950"/>
    <cellStyle name="Normal 2 2 2 2 2 24 2 2 2 4 2" xfId="2951"/>
    <cellStyle name="Normal 2 2 2 2 2 24 2 2 2 5" xfId="2952"/>
    <cellStyle name="Normal 2 2 2 2 2 24 2 2 2 6" xfId="2953"/>
    <cellStyle name="Normal 2 2 2 2 2 24 2 2 2 7" xfId="2954"/>
    <cellStyle name="Normal 2 2 2 2 2 24 2 2 2 8" xfId="2955"/>
    <cellStyle name="Normal 2 2 2 2 2 24 2 2 2 9" xfId="2956"/>
    <cellStyle name="Normal 2 2 2 2 2 24 2 2 3" xfId="2957"/>
    <cellStyle name="Normal 2 2 2 2 2 24 2 2 3 10" xfId="2958"/>
    <cellStyle name="Normal 2 2 2 2 2 24 2 2 3 11" xfId="2959"/>
    <cellStyle name="Normal 2 2 2 2 2 24 2 2 3 2" xfId="2960"/>
    <cellStyle name="Normal 2 2 2 2 2 24 2 2 3 2 10" xfId="2961"/>
    <cellStyle name="Normal 2 2 2 2 2 24 2 2 3 2 11" xfId="2962"/>
    <cellStyle name="Normal 2 2 2 2 2 24 2 2 3 2 2" xfId="2963"/>
    <cellStyle name="Normal 2 2 2 2 2 24 2 2 3 2 2 2" xfId="2964"/>
    <cellStyle name="Normal 2 2 2 2 2 24 2 2 3 2 3" xfId="2965"/>
    <cellStyle name="Normal 2 2 2 2 2 24 2 2 3 2 4" xfId="2966"/>
    <cellStyle name="Normal 2 2 2 2 2 24 2 2 3 2 5" xfId="2967"/>
    <cellStyle name="Normal 2 2 2 2 2 24 2 2 3 2 6" xfId="2968"/>
    <cellStyle name="Normal 2 2 2 2 2 24 2 2 3 2 7" xfId="2969"/>
    <cellStyle name="Normal 2 2 2 2 2 24 2 2 3 2 8" xfId="2970"/>
    <cellStyle name="Normal 2 2 2 2 2 24 2 2 3 2 9" xfId="2971"/>
    <cellStyle name="Normal 2 2 2 2 2 24 2 2 3 3" xfId="2972"/>
    <cellStyle name="Normal 2 2 2 2 2 24 2 2 3 3 2" xfId="2973"/>
    <cellStyle name="Normal 2 2 2 2 2 24 2 2 3 4" xfId="2974"/>
    <cellStyle name="Normal 2 2 2 2 2 24 2 2 3 5" xfId="2975"/>
    <cellStyle name="Normal 2 2 2 2 2 24 2 2 3 6" xfId="2976"/>
    <cellStyle name="Normal 2 2 2 2 2 24 2 2 3 7" xfId="2977"/>
    <cellStyle name="Normal 2 2 2 2 2 24 2 2 3 8" xfId="2978"/>
    <cellStyle name="Normal 2 2 2 2 2 24 2 2 3 9" xfId="2979"/>
    <cellStyle name="Normal 2 2 2 2 2 24 2 2 4" xfId="2980"/>
    <cellStyle name="Normal 2 2 2 2 2 24 2 2 4 2" xfId="2981"/>
    <cellStyle name="Normal 2 2 2 2 2 24 2 2 5" xfId="2982"/>
    <cellStyle name="Normal 2 2 2 2 2 24 2 2 6" xfId="2983"/>
    <cellStyle name="Normal 2 2 2 2 2 24 2 2 7" xfId="2984"/>
    <cellStyle name="Normal 2 2 2 2 2 24 2 2 8" xfId="2985"/>
    <cellStyle name="Normal 2 2 2 2 2 24 2 2 9" xfId="2986"/>
    <cellStyle name="Normal 2 2 2 2 2 24 2 3" xfId="2987"/>
    <cellStyle name="Normal 2 2 2 2 2 24 2 3 10" xfId="2988"/>
    <cellStyle name="Normal 2 2 2 2 2 24 2 3 11" xfId="2989"/>
    <cellStyle name="Normal 2 2 2 2 2 24 2 3 12" xfId="2990"/>
    <cellStyle name="Normal 2 2 2 2 2 24 2 3 2" xfId="2991"/>
    <cellStyle name="Normal 2 2 2 2 2 24 2 3 2 10" xfId="2992"/>
    <cellStyle name="Normal 2 2 2 2 2 24 2 3 2 11" xfId="2993"/>
    <cellStyle name="Normal 2 2 2 2 2 24 2 3 2 2" xfId="2994"/>
    <cellStyle name="Normal 2 2 2 2 2 24 2 3 2 2 10" xfId="2995"/>
    <cellStyle name="Normal 2 2 2 2 2 24 2 3 2 2 11" xfId="2996"/>
    <cellStyle name="Normal 2 2 2 2 2 24 2 3 2 2 2" xfId="2997"/>
    <cellStyle name="Normal 2 2 2 2 2 24 2 3 2 2 2 2" xfId="2998"/>
    <cellStyle name="Normal 2 2 2 2 2 24 2 3 2 2 3" xfId="2999"/>
    <cellStyle name="Normal 2 2 2 2 2 24 2 3 2 2 4" xfId="3000"/>
    <cellStyle name="Normal 2 2 2 2 2 24 2 3 2 2 5" xfId="3001"/>
    <cellStyle name="Normal 2 2 2 2 2 24 2 3 2 2 6" xfId="3002"/>
    <cellStyle name="Normal 2 2 2 2 2 24 2 3 2 2 7" xfId="3003"/>
    <cellStyle name="Normal 2 2 2 2 2 24 2 3 2 2 8" xfId="3004"/>
    <cellStyle name="Normal 2 2 2 2 2 24 2 3 2 2 9" xfId="3005"/>
    <cellStyle name="Normal 2 2 2 2 2 24 2 3 2 3" xfId="3006"/>
    <cellStyle name="Normal 2 2 2 2 2 24 2 3 2 3 2" xfId="3007"/>
    <cellStyle name="Normal 2 2 2 2 2 24 2 3 2 4" xfId="3008"/>
    <cellStyle name="Normal 2 2 2 2 2 24 2 3 2 5" xfId="3009"/>
    <cellStyle name="Normal 2 2 2 2 2 24 2 3 2 6" xfId="3010"/>
    <cellStyle name="Normal 2 2 2 2 2 24 2 3 2 7" xfId="3011"/>
    <cellStyle name="Normal 2 2 2 2 2 24 2 3 2 8" xfId="3012"/>
    <cellStyle name="Normal 2 2 2 2 2 24 2 3 2 9" xfId="3013"/>
    <cellStyle name="Normal 2 2 2 2 2 24 2 3 3" xfId="3014"/>
    <cellStyle name="Normal 2 2 2 2 2 24 2 3 3 2" xfId="3015"/>
    <cellStyle name="Normal 2 2 2 2 2 24 2 3 4" xfId="3016"/>
    <cellStyle name="Normal 2 2 2 2 2 24 2 3 5" xfId="3017"/>
    <cellStyle name="Normal 2 2 2 2 2 24 2 3 6" xfId="3018"/>
    <cellStyle name="Normal 2 2 2 2 2 24 2 3 7" xfId="3019"/>
    <cellStyle name="Normal 2 2 2 2 2 24 2 3 8" xfId="3020"/>
    <cellStyle name="Normal 2 2 2 2 2 24 2 3 9" xfId="3021"/>
    <cellStyle name="Normal 2 2 2 2 2 24 2 4" xfId="3022"/>
    <cellStyle name="Normal 2 2 2 2 2 24 2 4 10" xfId="3023"/>
    <cellStyle name="Normal 2 2 2 2 2 24 2 4 11" xfId="3024"/>
    <cellStyle name="Normal 2 2 2 2 2 24 2 4 2" xfId="3025"/>
    <cellStyle name="Normal 2 2 2 2 2 24 2 4 2 2" xfId="3026"/>
    <cellStyle name="Normal 2 2 2 2 2 24 2 4 3" xfId="3027"/>
    <cellStyle name="Normal 2 2 2 2 2 24 2 4 4" xfId="3028"/>
    <cellStyle name="Normal 2 2 2 2 2 24 2 4 5" xfId="3029"/>
    <cellStyle name="Normal 2 2 2 2 2 24 2 4 6" xfId="3030"/>
    <cellStyle name="Normal 2 2 2 2 2 24 2 4 7" xfId="3031"/>
    <cellStyle name="Normal 2 2 2 2 2 24 2 4 8" xfId="3032"/>
    <cellStyle name="Normal 2 2 2 2 2 24 2 4 9" xfId="3033"/>
    <cellStyle name="Normal 2 2 2 2 2 24 2 5" xfId="3034"/>
    <cellStyle name="Normal 2 2 2 2 2 24 2 5 2" xfId="3035"/>
    <cellStyle name="Normal 2 2 2 2 2 24 2 6" xfId="3036"/>
    <cellStyle name="Normal 2 2 2 2 2 24 2 7" xfId="3037"/>
    <cellStyle name="Normal 2 2 2 2 2 24 2 8" xfId="3038"/>
    <cellStyle name="Normal 2 2 2 2 2 24 2 9" xfId="3039"/>
    <cellStyle name="Normal 2 2 2 2 2 24 3" xfId="3040"/>
    <cellStyle name="Normal 2 2 2 2 2 24 3 10" xfId="3041"/>
    <cellStyle name="Normal 2 2 2 2 2 24 3 11" xfId="3042"/>
    <cellStyle name="Normal 2 2 2 2 2 24 3 12" xfId="3043"/>
    <cellStyle name="Normal 2 2 2 2 2 24 3 2" xfId="3044"/>
    <cellStyle name="Normal 2 2 2 2 2 24 3 2 10" xfId="3045"/>
    <cellStyle name="Normal 2 2 2 2 2 24 3 2 11" xfId="3046"/>
    <cellStyle name="Normal 2 2 2 2 2 24 3 2 12" xfId="3047"/>
    <cellStyle name="Normal 2 2 2 2 2 24 3 2 2" xfId="3048"/>
    <cellStyle name="Normal 2 2 2 2 2 24 3 2 2 10" xfId="3049"/>
    <cellStyle name="Normal 2 2 2 2 2 24 3 2 2 11" xfId="3050"/>
    <cellStyle name="Normal 2 2 2 2 2 24 3 2 2 2" xfId="3051"/>
    <cellStyle name="Normal 2 2 2 2 2 24 3 2 2 2 10" xfId="3052"/>
    <cellStyle name="Normal 2 2 2 2 2 24 3 2 2 2 11" xfId="3053"/>
    <cellStyle name="Normal 2 2 2 2 2 24 3 2 2 2 2" xfId="3054"/>
    <cellStyle name="Normal 2 2 2 2 2 24 3 2 2 2 2 2" xfId="3055"/>
    <cellStyle name="Normal 2 2 2 2 2 24 3 2 2 2 3" xfId="3056"/>
    <cellStyle name="Normal 2 2 2 2 2 24 3 2 2 2 4" xfId="3057"/>
    <cellStyle name="Normal 2 2 2 2 2 24 3 2 2 2 5" xfId="3058"/>
    <cellStyle name="Normal 2 2 2 2 2 24 3 2 2 2 6" xfId="3059"/>
    <cellStyle name="Normal 2 2 2 2 2 24 3 2 2 2 7" xfId="3060"/>
    <cellStyle name="Normal 2 2 2 2 2 24 3 2 2 2 8" xfId="3061"/>
    <cellStyle name="Normal 2 2 2 2 2 24 3 2 2 2 9" xfId="3062"/>
    <cellStyle name="Normal 2 2 2 2 2 24 3 2 2 3" xfId="3063"/>
    <cellStyle name="Normal 2 2 2 2 2 24 3 2 2 3 2" xfId="3064"/>
    <cellStyle name="Normal 2 2 2 2 2 24 3 2 2 4" xfId="3065"/>
    <cellStyle name="Normal 2 2 2 2 2 24 3 2 2 5" xfId="3066"/>
    <cellStyle name="Normal 2 2 2 2 2 24 3 2 2 6" xfId="3067"/>
    <cellStyle name="Normal 2 2 2 2 2 24 3 2 2 7" xfId="3068"/>
    <cellStyle name="Normal 2 2 2 2 2 24 3 2 2 8" xfId="3069"/>
    <cellStyle name="Normal 2 2 2 2 2 24 3 2 2 9" xfId="3070"/>
    <cellStyle name="Normal 2 2 2 2 2 24 3 2 3" xfId="3071"/>
    <cellStyle name="Normal 2 2 2 2 2 24 3 2 3 2" xfId="3072"/>
    <cellStyle name="Normal 2 2 2 2 2 24 3 2 4" xfId="3073"/>
    <cellStyle name="Normal 2 2 2 2 2 24 3 2 5" xfId="3074"/>
    <cellStyle name="Normal 2 2 2 2 2 24 3 2 6" xfId="3075"/>
    <cellStyle name="Normal 2 2 2 2 2 24 3 2 7" xfId="3076"/>
    <cellStyle name="Normal 2 2 2 2 2 24 3 2 8" xfId="3077"/>
    <cellStyle name="Normal 2 2 2 2 2 24 3 2 9" xfId="3078"/>
    <cellStyle name="Normal 2 2 2 2 2 24 3 3" xfId="3079"/>
    <cellStyle name="Normal 2 2 2 2 2 24 3 3 10" xfId="3080"/>
    <cellStyle name="Normal 2 2 2 2 2 24 3 3 11" xfId="3081"/>
    <cellStyle name="Normal 2 2 2 2 2 24 3 3 2" xfId="3082"/>
    <cellStyle name="Normal 2 2 2 2 2 24 3 3 2 2" xfId="3083"/>
    <cellStyle name="Normal 2 2 2 2 2 24 3 3 3" xfId="3084"/>
    <cellStyle name="Normal 2 2 2 2 2 24 3 3 4" xfId="3085"/>
    <cellStyle name="Normal 2 2 2 2 2 24 3 3 5" xfId="3086"/>
    <cellStyle name="Normal 2 2 2 2 2 24 3 3 6" xfId="3087"/>
    <cellStyle name="Normal 2 2 2 2 2 24 3 3 7" xfId="3088"/>
    <cellStyle name="Normal 2 2 2 2 2 24 3 3 8" xfId="3089"/>
    <cellStyle name="Normal 2 2 2 2 2 24 3 3 9" xfId="3090"/>
    <cellStyle name="Normal 2 2 2 2 2 24 3 4" xfId="3091"/>
    <cellStyle name="Normal 2 2 2 2 2 24 3 4 2" xfId="3092"/>
    <cellStyle name="Normal 2 2 2 2 2 24 3 5" xfId="3093"/>
    <cellStyle name="Normal 2 2 2 2 2 24 3 6" xfId="3094"/>
    <cellStyle name="Normal 2 2 2 2 2 24 3 7" xfId="3095"/>
    <cellStyle name="Normal 2 2 2 2 2 24 3 8" xfId="3096"/>
    <cellStyle name="Normal 2 2 2 2 2 24 3 9" xfId="3097"/>
    <cellStyle name="Normal 2 2 2 2 2 24 4" xfId="3098"/>
    <cellStyle name="Normal 2 2 2 2 2 24 4 10" xfId="3099"/>
    <cellStyle name="Normal 2 2 2 2 2 24 4 11" xfId="3100"/>
    <cellStyle name="Normal 2 2 2 2 2 24 4 2" xfId="3101"/>
    <cellStyle name="Normal 2 2 2 2 2 24 4 2 10" xfId="3102"/>
    <cellStyle name="Normal 2 2 2 2 2 24 4 2 11" xfId="3103"/>
    <cellStyle name="Normal 2 2 2 2 2 24 4 2 2" xfId="3104"/>
    <cellStyle name="Normal 2 2 2 2 2 24 4 2 2 2" xfId="3105"/>
    <cellStyle name="Normal 2 2 2 2 2 24 4 2 3" xfId="3106"/>
    <cellStyle name="Normal 2 2 2 2 2 24 4 2 4" xfId="3107"/>
    <cellStyle name="Normal 2 2 2 2 2 24 4 2 5" xfId="3108"/>
    <cellStyle name="Normal 2 2 2 2 2 24 4 2 6" xfId="3109"/>
    <cellStyle name="Normal 2 2 2 2 2 24 4 2 7" xfId="3110"/>
    <cellStyle name="Normal 2 2 2 2 2 24 4 2 8" xfId="3111"/>
    <cellStyle name="Normal 2 2 2 2 2 24 4 2 9" xfId="3112"/>
    <cellStyle name="Normal 2 2 2 2 2 24 4 3" xfId="3113"/>
    <cellStyle name="Normal 2 2 2 2 2 24 4 3 2" xfId="3114"/>
    <cellStyle name="Normal 2 2 2 2 2 24 4 4" xfId="3115"/>
    <cellStyle name="Normal 2 2 2 2 2 24 4 5" xfId="3116"/>
    <cellStyle name="Normal 2 2 2 2 2 24 4 6" xfId="3117"/>
    <cellStyle name="Normal 2 2 2 2 2 24 4 7" xfId="3118"/>
    <cellStyle name="Normal 2 2 2 2 2 24 4 8" xfId="3119"/>
    <cellStyle name="Normal 2 2 2 2 2 24 4 9" xfId="3120"/>
    <cellStyle name="Normal 2 2 2 2 2 24 5" xfId="3121"/>
    <cellStyle name="Normal 2 2 2 2 2 24 5 2" xfId="3122"/>
    <cellStyle name="Normal 2 2 2 2 2 24 6" xfId="3123"/>
    <cellStyle name="Normal 2 2 2 2 2 24 7" xfId="3124"/>
    <cellStyle name="Normal 2 2 2 2 2 24 8" xfId="3125"/>
    <cellStyle name="Normal 2 2 2 2 2 24 9" xfId="3126"/>
    <cellStyle name="Normal 2 2 2 2 2 25" xfId="3127"/>
    <cellStyle name="Normal 2 2 2 2 2 25 10" xfId="3128"/>
    <cellStyle name="Normal 2 2 2 2 2 25 11" xfId="3129"/>
    <cellStyle name="Normal 2 2 2 2 2 25 12" xfId="3130"/>
    <cellStyle name="Normal 2 2 2 2 2 25 13" xfId="3131"/>
    <cellStyle name="Normal 2 2 2 2 2 25 2" xfId="3132"/>
    <cellStyle name="Normal 2 2 2 2 2 25 2 10" xfId="3133"/>
    <cellStyle name="Normal 2 2 2 2 2 25 2 11" xfId="3134"/>
    <cellStyle name="Normal 2 2 2 2 2 25 2 12" xfId="3135"/>
    <cellStyle name="Normal 2 2 2 2 2 25 2 2" xfId="3136"/>
    <cellStyle name="Normal 2 2 2 2 2 25 2 2 10" xfId="3137"/>
    <cellStyle name="Normal 2 2 2 2 2 25 2 2 11" xfId="3138"/>
    <cellStyle name="Normal 2 2 2 2 2 25 2 2 12" xfId="3139"/>
    <cellStyle name="Normal 2 2 2 2 2 25 2 2 2" xfId="3140"/>
    <cellStyle name="Normal 2 2 2 2 2 25 2 2 2 10" xfId="3141"/>
    <cellStyle name="Normal 2 2 2 2 2 25 2 2 2 11" xfId="3142"/>
    <cellStyle name="Normal 2 2 2 2 2 25 2 2 2 2" xfId="3143"/>
    <cellStyle name="Normal 2 2 2 2 2 25 2 2 2 2 10" xfId="3144"/>
    <cellStyle name="Normal 2 2 2 2 2 25 2 2 2 2 11" xfId="3145"/>
    <cellStyle name="Normal 2 2 2 2 2 25 2 2 2 2 2" xfId="3146"/>
    <cellStyle name="Normal 2 2 2 2 2 25 2 2 2 2 2 2" xfId="3147"/>
    <cellStyle name="Normal 2 2 2 2 2 25 2 2 2 2 3" xfId="3148"/>
    <cellStyle name="Normal 2 2 2 2 2 25 2 2 2 2 4" xfId="3149"/>
    <cellStyle name="Normal 2 2 2 2 2 25 2 2 2 2 5" xfId="3150"/>
    <cellStyle name="Normal 2 2 2 2 2 25 2 2 2 2 6" xfId="3151"/>
    <cellStyle name="Normal 2 2 2 2 2 25 2 2 2 2 7" xfId="3152"/>
    <cellStyle name="Normal 2 2 2 2 2 25 2 2 2 2 8" xfId="3153"/>
    <cellStyle name="Normal 2 2 2 2 2 25 2 2 2 2 9" xfId="3154"/>
    <cellStyle name="Normal 2 2 2 2 2 25 2 2 2 3" xfId="3155"/>
    <cellStyle name="Normal 2 2 2 2 2 25 2 2 2 3 2" xfId="3156"/>
    <cellStyle name="Normal 2 2 2 2 2 25 2 2 2 4" xfId="3157"/>
    <cellStyle name="Normal 2 2 2 2 2 25 2 2 2 5" xfId="3158"/>
    <cellStyle name="Normal 2 2 2 2 2 25 2 2 2 6" xfId="3159"/>
    <cellStyle name="Normal 2 2 2 2 2 25 2 2 2 7" xfId="3160"/>
    <cellStyle name="Normal 2 2 2 2 2 25 2 2 2 8" xfId="3161"/>
    <cellStyle name="Normal 2 2 2 2 2 25 2 2 2 9" xfId="3162"/>
    <cellStyle name="Normal 2 2 2 2 2 25 2 2 3" xfId="3163"/>
    <cellStyle name="Normal 2 2 2 2 2 25 2 2 3 2" xfId="3164"/>
    <cellStyle name="Normal 2 2 2 2 2 25 2 2 4" xfId="3165"/>
    <cellStyle name="Normal 2 2 2 2 2 25 2 2 5" xfId="3166"/>
    <cellStyle name="Normal 2 2 2 2 2 25 2 2 6" xfId="3167"/>
    <cellStyle name="Normal 2 2 2 2 2 25 2 2 7" xfId="3168"/>
    <cellStyle name="Normal 2 2 2 2 2 25 2 2 8" xfId="3169"/>
    <cellStyle name="Normal 2 2 2 2 2 25 2 2 9" xfId="3170"/>
    <cellStyle name="Normal 2 2 2 2 2 25 2 3" xfId="3171"/>
    <cellStyle name="Normal 2 2 2 2 2 25 2 3 10" xfId="3172"/>
    <cellStyle name="Normal 2 2 2 2 2 25 2 3 11" xfId="3173"/>
    <cellStyle name="Normal 2 2 2 2 2 25 2 3 2" xfId="3174"/>
    <cellStyle name="Normal 2 2 2 2 2 25 2 3 2 2" xfId="3175"/>
    <cellStyle name="Normal 2 2 2 2 2 25 2 3 3" xfId="3176"/>
    <cellStyle name="Normal 2 2 2 2 2 25 2 3 4" xfId="3177"/>
    <cellStyle name="Normal 2 2 2 2 2 25 2 3 5" xfId="3178"/>
    <cellStyle name="Normal 2 2 2 2 2 25 2 3 6" xfId="3179"/>
    <cellStyle name="Normal 2 2 2 2 2 25 2 3 7" xfId="3180"/>
    <cellStyle name="Normal 2 2 2 2 2 25 2 3 8" xfId="3181"/>
    <cellStyle name="Normal 2 2 2 2 2 25 2 3 9" xfId="3182"/>
    <cellStyle name="Normal 2 2 2 2 2 25 2 4" xfId="3183"/>
    <cellStyle name="Normal 2 2 2 2 2 25 2 4 2" xfId="3184"/>
    <cellStyle name="Normal 2 2 2 2 2 25 2 5" xfId="3185"/>
    <cellStyle name="Normal 2 2 2 2 2 25 2 6" xfId="3186"/>
    <cellStyle name="Normal 2 2 2 2 2 25 2 7" xfId="3187"/>
    <cellStyle name="Normal 2 2 2 2 2 25 2 8" xfId="3188"/>
    <cellStyle name="Normal 2 2 2 2 2 25 2 9" xfId="3189"/>
    <cellStyle name="Normal 2 2 2 2 2 25 3" xfId="3190"/>
    <cellStyle name="Normal 2 2 2 2 2 25 3 10" xfId="3191"/>
    <cellStyle name="Normal 2 2 2 2 2 25 3 11" xfId="3192"/>
    <cellStyle name="Normal 2 2 2 2 2 25 3 2" xfId="3193"/>
    <cellStyle name="Normal 2 2 2 2 2 25 3 2 10" xfId="3194"/>
    <cellStyle name="Normal 2 2 2 2 2 25 3 2 11" xfId="3195"/>
    <cellStyle name="Normal 2 2 2 2 2 25 3 2 2" xfId="3196"/>
    <cellStyle name="Normal 2 2 2 2 2 25 3 2 2 2" xfId="3197"/>
    <cellStyle name="Normal 2 2 2 2 2 25 3 2 3" xfId="3198"/>
    <cellStyle name="Normal 2 2 2 2 2 25 3 2 4" xfId="3199"/>
    <cellStyle name="Normal 2 2 2 2 2 25 3 2 5" xfId="3200"/>
    <cellStyle name="Normal 2 2 2 2 2 25 3 2 6" xfId="3201"/>
    <cellStyle name="Normal 2 2 2 2 2 25 3 2 7" xfId="3202"/>
    <cellStyle name="Normal 2 2 2 2 2 25 3 2 8" xfId="3203"/>
    <cellStyle name="Normal 2 2 2 2 2 25 3 2 9" xfId="3204"/>
    <cellStyle name="Normal 2 2 2 2 2 25 3 3" xfId="3205"/>
    <cellStyle name="Normal 2 2 2 2 2 25 3 3 2" xfId="3206"/>
    <cellStyle name="Normal 2 2 2 2 2 25 3 4" xfId="3207"/>
    <cellStyle name="Normal 2 2 2 2 2 25 3 5" xfId="3208"/>
    <cellStyle name="Normal 2 2 2 2 2 25 3 6" xfId="3209"/>
    <cellStyle name="Normal 2 2 2 2 2 25 3 7" xfId="3210"/>
    <cellStyle name="Normal 2 2 2 2 2 25 3 8" xfId="3211"/>
    <cellStyle name="Normal 2 2 2 2 2 25 3 9" xfId="3212"/>
    <cellStyle name="Normal 2 2 2 2 2 25 4" xfId="3213"/>
    <cellStyle name="Normal 2 2 2 2 2 25 4 2" xfId="3214"/>
    <cellStyle name="Normal 2 2 2 2 2 25 5" xfId="3215"/>
    <cellStyle name="Normal 2 2 2 2 2 25 6" xfId="3216"/>
    <cellStyle name="Normal 2 2 2 2 2 25 7" xfId="3217"/>
    <cellStyle name="Normal 2 2 2 2 2 25 8" xfId="3218"/>
    <cellStyle name="Normal 2 2 2 2 2 25 9" xfId="3219"/>
    <cellStyle name="Normal 2 2 2 2 2 26" xfId="3220"/>
    <cellStyle name="Normal 2 2 2 2 2 26 10" xfId="3221"/>
    <cellStyle name="Normal 2 2 2 2 2 26 11" xfId="3222"/>
    <cellStyle name="Normal 2 2 2 2 2 26 12" xfId="3223"/>
    <cellStyle name="Normal 2 2 2 2 2 26 2" xfId="3224"/>
    <cellStyle name="Normal 2 2 2 2 2 26 2 10" xfId="3225"/>
    <cellStyle name="Normal 2 2 2 2 2 26 2 11" xfId="3226"/>
    <cellStyle name="Normal 2 2 2 2 2 26 2 2" xfId="3227"/>
    <cellStyle name="Normal 2 2 2 2 2 26 2 2 10" xfId="3228"/>
    <cellStyle name="Normal 2 2 2 2 2 26 2 2 11" xfId="3229"/>
    <cellStyle name="Normal 2 2 2 2 2 26 2 2 2" xfId="3230"/>
    <cellStyle name="Normal 2 2 2 2 2 26 2 2 2 2" xfId="3231"/>
    <cellStyle name="Normal 2 2 2 2 2 26 2 2 3" xfId="3232"/>
    <cellStyle name="Normal 2 2 2 2 2 26 2 2 4" xfId="3233"/>
    <cellStyle name="Normal 2 2 2 2 2 26 2 2 5" xfId="3234"/>
    <cellStyle name="Normal 2 2 2 2 2 26 2 2 6" xfId="3235"/>
    <cellStyle name="Normal 2 2 2 2 2 26 2 2 7" xfId="3236"/>
    <cellStyle name="Normal 2 2 2 2 2 26 2 2 8" xfId="3237"/>
    <cellStyle name="Normal 2 2 2 2 2 26 2 2 9" xfId="3238"/>
    <cellStyle name="Normal 2 2 2 2 2 26 2 3" xfId="3239"/>
    <cellStyle name="Normal 2 2 2 2 2 26 2 3 2" xfId="3240"/>
    <cellStyle name="Normal 2 2 2 2 2 26 2 4" xfId="3241"/>
    <cellStyle name="Normal 2 2 2 2 2 26 2 5" xfId="3242"/>
    <cellStyle name="Normal 2 2 2 2 2 26 2 6" xfId="3243"/>
    <cellStyle name="Normal 2 2 2 2 2 26 2 7" xfId="3244"/>
    <cellStyle name="Normal 2 2 2 2 2 26 2 8" xfId="3245"/>
    <cellStyle name="Normal 2 2 2 2 2 26 2 9" xfId="3246"/>
    <cellStyle name="Normal 2 2 2 2 2 26 3" xfId="3247"/>
    <cellStyle name="Normal 2 2 2 2 2 26 3 2" xfId="3248"/>
    <cellStyle name="Normal 2 2 2 2 2 26 4" xfId="3249"/>
    <cellStyle name="Normal 2 2 2 2 2 26 5" xfId="3250"/>
    <cellStyle name="Normal 2 2 2 2 2 26 6" xfId="3251"/>
    <cellStyle name="Normal 2 2 2 2 2 26 7" xfId="3252"/>
    <cellStyle name="Normal 2 2 2 2 2 26 8" xfId="3253"/>
    <cellStyle name="Normal 2 2 2 2 2 26 9" xfId="3254"/>
    <cellStyle name="Normal 2 2 2 2 2 27" xfId="3255"/>
    <cellStyle name="Normal 2 2 2 2 2 27 10" xfId="3256"/>
    <cellStyle name="Normal 2 2 2 2 2 27 11" xfId="3257"/>
    <cellStyle name="Normal 2 2 2 2 2 27 2" xfId="3258"/>
    <cellStyle name="Normal 2 2 2 2 2 27 2 2" xfId="3259"/>
    <cellStyle name="Normal 2 2 2 2 2 27 3" xfId="3260"/>
    <cellStyle name="Normal 2 2 2 2 2 27 4" xfId="3261"/>
    <cellStyle name="Normal 2 2 2 2 2 27 5" xfId="3262"/>
    <cellStyle name="Normal 2 2 2 2 2 27 6" xfId="3263"/>
    <cellStyle name="Normal 2 2 2 2 2 27 7" xfId="3264"/>
    <cellStyle name="Normal 2 2 2 2 2 27 8" xfId="3265"/>
    <cellStyle name="Normal 2 2 2 2 2 27 9" xfId="3266"/>
    <cellStyle name="Normal 2 2 2 2 2 28" xfId="3267"/>
    <cellStyle name="Normal 2 2 2 2 2 28 2" xfId="3268"/>
    <cellStyle name="Normal 2 2 2 2 2 29" xfId="3269"/>
    <cellStyle name="Normal 2 2 2 2 2 3" xfId="3270"/>
    <cellStyle name="Normal 2 2 2 2 2 30" xfId="3271"/>
    <cellStyle name="Normal 2 2 2 2 2 31" xfId="3272"/>
    <cellStyle name="Normal 2 2 2 2 2 32" xfId="3273"/>
    <cellStyle name="Normal 2 2 2 2 2 33" xfId="3274"/>
    <cellStyle name="Normal 2 2 2 2 2 34" xfId="3275"/>
    <cellStyle name="Normal 2 2 2 2 2 35" xfId="3276"/>
    <cellStyle name="Normal 2 2 2 2 2 36" xfId="3277"/>
    <cellStyle name="Normal 2 2 2 2 2 37" xfId="3278"/>
    <cellStyle name="Normal 2 2 2 2 2 37 2" xfId="3279"/>
    <cellStyle name="Normal 2 2 2 2 2 38" xfId="3280"/>
    <cellStyle name="Normal 2 2 2 2 2 39" xfId="3281"/>
    <cellStyle name="Normal 2 2 2 2 2 4" xfId="3282"/>
    <cellStyle name="Normal 2 2 2 2 2 4 2" xfId="3283"/>
    <cellStyle name="Normal 2 2 2 2 2 4 2 2" xfId="3284"/>
    <cellStyle name="Normal 2 2 2 2 2 40" xfId="3285"/>
    <cellStyle name="Normal 2 2 2 2 2 41" xfId="3286"/>
    <cellStyle name="Normal 2 2 2 2 2 41 2" xfId="3287"/>
    <cellStyle name="Normal 2 2 2 2 2 42" xfId="3288"/>
    <cellStyle name="Normal 2 2 2 2 2 43" xfId="3289"/>
    <cellStyle name="Normal 2 2 2 2 2 44" xfId="3290"/>
    <cellStyle name="Normal 2 2 2 2 2 5" xfId="3291"/>
    <cellStyle name="Normal 2 2 2 2 2 5 2" xfId="3292"/>
    <cellStyle name="Normal 2 2 2 2 2 6" xfId="3293"/>
    <cellStyle name="Normal 2 2 2 2 2 7" xfId="3294"/>
    <cellStyle name="Normal 2 2 2 2 2 8" xfId="3295"/>
    <cellStyle name="Normal 2 2 2 2 2 9" xfId="3296"/>
    <cellStyle name="Normal 2 2 2 2 20" xfId="3297"/>
    <cellStyle name="Normal 2 2 2 2 21" xfId="3298"/>
    <cellStyle name="Normal 2 2 2 2 22" xfId="3299"/>
    <cellStyle name="Normal 2 2 2 2 23" xfId="3300"/>
    <cellStyle name="Normal 2 2 2 2 24" xfId="3301"/>
    <cellStyle name="Normal 2 2 2 2 25" xfId="3302"/>
    <cellStyle name="Normal 2 2 2 2 25 10" xfId="3303"/>
    <cellStyle name="Normal 2 2 2 2 25 11" xfId="3304"/>
    <cellStyle name="Normal 2 2 2 2 25 12" xfId="3305"/>
    <cellStyle name="Normal 2 2 2 2 25 13" xfId="3306"/>
    <cellStyle name="Normal 2 2 2 2 25 14" xfId="3307"/>
    <cellStyle name="Normal 2 2 2 2 25 15" xfId="3308"/>
    <cellStyle name="Normal 2 2 2 2 25 2" xfId="3309"/>
    <cellStyle name="Normal 2 2 2 2 25 2 10" xfId="3310"/>
    <cellStyle name="Normal 2 2 2 2 25 2 11" xfId="3311"/>
    <cellStyle name="Normal 2 2 2 2 25 2 12" xfId="3312"/>
    <cellStyle name="Normal 2 2 2 2 25 2 13" xfId="3313"/>
    <cellStyle name="Normal 2 2 2 2 25 2 14" xfId="3314"/>
    <cellStyle name="Normal 2 2 2 2 25 2 2" xfId="3315"/>
    <cellStyle name="Normal 2 2 2 2 25 2 2 10" xfId="3316"/>
    <cellStyle name="Normal 2 2 2 2 25 2 2 11" xfId="3317"/>
    <cellStyle name="Normal 2 2 2 2 25 2 2 12" xfId="3318"/>
    <cellStyle name="Normal 2 2 2 2 25 2 2 13" xfId="3319"/>
    <cellStyle name="Normal 2 2 2 2 25 2 2 14" xfId="3320"/>
    <cellStyle name="Normal 2 2 2 2 25 2 2 2" xfId="3321"/>
    <cellStyle name="Normal 2 2 2 2 25 2 2 2 10" xfId="3322"/>
    <cellStyle name="Normal 2 2 2 2 25 2 2 2 11" xfId="3323"/>
    <cellStyle name="Normal 2 2 2 2 25 2 2 2 12" xfId="3324"/>
    <cellStyle name="Normal 2 2 2 2 25 2 2 2 13" xfId="3325"/>
    <cellStyle name="Normal 2 2 2 2 25 2 2 2 2" xfId="3326"/>
    <cellStyle name="Normal 2 2 2 2 25 2 2 2 2 10" xfId="3327"/>
    <cellStyle name="Normal 2 2 2 2 25 2 2 2 2 11" xfId="3328"/>
    <cellStyle name="Normal 2 2 2 2 25 2 2 2 2 12" xfId="3329"/>
    <cellStyle name="Normal 2 2 2 2 25 2 2 2 2 13" xfId="3330"/>
    <cellStyle name="Normal 2 2 2 2 25 2 2 2 2 2" xfId="3331"/>
    <cellStyle name="Normal 2 2 2 2 25 2 2 2 2 2 10" xfId="3332"/>
    <cellStyle name="Normal 2 2 2 2 25 2 2 2 2 2 11" xfId="3333"/>
    <cellStyle name="Normal 2 2 2 2 25 2 2 2 2 2 12" xfId="3334"/>
    <cellStyle name="Normal 2 2 2 2 25 2 2 2 2 2 2" xfId="3335"/>
    <cellStyle name="Normal 2 2 2 2 25 2 2 2 2 2 2 10" xfId="3336"/>
    <cellStyle name="Normal 2 2 2 2 25 2 2 2 2 2 2 11" xfId="3337"/>
    <cellStyle name="Normal 2 2 2 2 25 2 2 2 2 2 2 12" xfId="3338"/>
    <cellStyle name="Normal 2 2 2 2 25 2 2 2 2 2 2 2" xfId="3339"/>
    <cellStyle name="Normal 2 2 2 2 25 2 2 2 2 2 2 2 10" xfId="3340"/>
    <cellStyle name="Normal 2 2 2 2 25 2 2 2 2 2 2 2 11" xfId="3341"/>
    <cellStyle name="Normal 2 2 2 2 25 2 2 2 2 2 2 2 2" xfId="3342"/>
    <cellStyle name="Normal 2 2 2 2 25 2 2 2 2 2 2 2 2 10" xfId="3343"/>
    <cellStyle name="Normal 2 2 2 2 25 2 2 2 2 2 2 2 2 11" xfId="3344"/>
    <cellStyle name="Normal 2 2 2 2 25 2 2 2 2 2 2 2 2 2" xfId="3345"/>
    <cellStyle name="Normal 2 2 2 2 25 2 2 2 2 2 2 2 2 2 2" xfId="3346"/>
    <cellStyle name="Normal 2 2 2 2 25 2 2 2 2 2 2 2 2 3" xfId="3347"/>
    <cellStyle name="Normal 2 2 2 2 25 2 2 2 2 2 2 2 2 4" xfId="3348"/>
    <cellStyle name="Normal 2 2 2 2 25 2 2 2 2 2 2 2 2 5" xfId="3349"/>
    <cellStyle name="Normal 2 2 2 2 25 2 2 2 2 2 2 2 2 6" xfId="3350"/>
    <cellStyle name="Normal 2 2 2 2 25 2 2 2 2 2 2 2 2 7" xfId="3351"/>
    <cellStyle name="Normal 2 2 2 2 25 2 2 2 2 2 2 2 2 8" xfId="3352"/>
    <cellStyle name="Normal 2 2 2 2 25 2 2 2 2 2 2 2 2 9" xfId="3353"/>
    <cellStyle name="Normal 2 2 2 2 25 2 2 2 2 2 2 2 3" xfId="3354"/>
    <cellStyle name="Normal 2 2 2 2 25 2 2 2 2 2 2 2 3 2" xfId="3355"/>
    <cellStyle name="Normal 2 2 2 2 25 2 2 2 2 2 2 2 4" xfId="3356"/>
    <cellStyle name="Normal 2 2 2 2 25 2 2 2 2 2 2 2 5" xfId="3357"/>
    <cellStyle name="Normal 2 2 2 2 25 2 2 2 2 2 2 2 6" xfId="3358"/>
    <cellStyle name="Normal 2 2 2 2 25 2 2 2 2 2 2 2 7" xfId="3359"/>
    <cellStyle name="Normal 2 2 2 2 25 2 2 2 2 2 2 2 8" xfId="3360"/>
    <cellStyle name="Normal 2 2 2 2 25 2 2 2 2 2 2 2 9" xfId="3361"/>
    <cellStyle name="Normal 2 2 2 2 25 2 2 2 2 2 2 3" xfId="3362"/>
    <cellStyle name="Normal 2 2 2 2 25 2 2 2 2 2 2 3 2" xfId="3363"/>
    <cellStyle name="Normal 2 2 2 2 25 2 2 2 2 2 2 4" xfId="3364"/>
    <cellStyle name="Normal 2 2 2 2 25 2 2 2 2 2 2 5" xfId="3365"/>
    <cellStyle name="Normal 2 2 2 2 25 2 2 2 2 2 2 6" xfId="3366"/>
    <cellStyle name="Normal 2 2 2 2 25 2 2 2 2 2 2 7" xfId="3367"/>
    <cellStyle name="Normal 2 2 2 2 25 2 2 2 2 2 2 8" xfId="3368"/>
    <cellStyle name="Normal 2 2 2 2 25 2 2 2 2 2 2 9" xfId="3369"/>
    <cellStyle name="Normal 2 2 2 2 25 2 2 2 2 2 3" xfId="3370"/>
    <cellStyle name="Normal 2 2 2 2 25 2 2 2 2 2 3 10" xfId="3371"/>
    <cellStyle name="Normal 2 2 2 2 25 2 2 2 2 2 3 11" xfId="3372"/>
    <cellStyle name="Normal 2 2 2 2 25 2 2 2 2 2 3 2" xfId="3373"/>
    <cellStyle name="Normal 2 2 2 2 25 2 2 2 2 2 3 2 2" xfId="3374"/>
    <cellStyle name="Normal 2 2 2 2 25 2 2 2 2 2 3 3" xfId="3375"/>
    <cellStyle name="Normal 2 2 2 2 25 2 2 2 2 2 3 4" xfId="3376"/>
    <cellStyle name="Normal 2 2 2 2 25 2 2 2 2 2 3 5" xfId="3377"/>
    <cellStyle name="Normal 2 2 2 2 25 2 2 2 2 2 3 6" xfId="3378"/>
    <cellStyle name="Normal 2 2 2 2 25 2 2 2 2 2 3 7" xfId="3379"/>
    <cellStyle name="Normal 2 2 2 2 25 2 2 2 2 2 3 8" xfId="3380"/>
    <cellStyle name="Normal 2 2 2 2 25 2 2 2 2 2 3 9" xfId="3381"/>
    <cellStyle name="Normal 2 2 2 2 25 2 2 2 2 2 4" xfId="3382"/>
    <cellStyle name="Normal 2 2 2 2 25 2 2 2 2 2 4 2" xfId="3383"/>
    <cellStyle name="Normal 2 2 2 2 25 2 2 2 2 2 5" xfId="3384"/>
    <cellStyle name="Normal 2 2 2 2 25 2 2 2 2 2 6" xfId="3385"/>
    <cellStyle name="Normal 2 2 2 2 25 2 2 2 2 2 7" xfId="3386"/>
    <cellStyle name="Normal 2 2 2 2 25 2 2 2 2 2 8" xfId="3387"/>
    <cellStyle name="Normal 2 2 2 2 25 2 2 2 2 2 9" xfId="3388"/>
    <cellStyle name="Normal 2 2 2 2 25 2 2 2 2 3" xfId="3389"/>
    <cellStyle name="Normal 2 2 2 2 25 2 2 2 2 3 10" xfId="3390"/>
    <cellStyle name="Normal 2 2 2 2 25 2 2 2 2 3 11" xfId="3391"/>
    <cellStyle name="Normal 2 2 2 2 25 2 2 2 2 3 2" xfId="3392"/>
    <cellStyle name="Normal 2 2 2 2 25 2 2 2 2 3 2 10" xfId="3393"/>
    <cellStyle name="Normal 2 2 2 2 25 2 2 2 2 3 2 11" xfId="3394"/>
    <cellStyle name="Normal 2 2 2 2 25 2 2 2 2 3 2 2" xfId="3395"/>
    <cellStyle name="Normal 2 2 2 2 25 2 2 2 2 3 2 2 2" xfId="3396"/>
    <cellStyle name="Normal 2 2 2 2 25 2 2 2 2 3 2 3" xfId="3397"/>
    <cellStyle name="Normal 2 2 2 2 25 2 2 2 2 3 2 4" xfId="3398"/>
    <cellStyle name="Normal 2 2 2 2 25 2 2 2 2 3 2 5" xfId="3399"/>
    <cellStyle name="Normal 2 2 2 2 25 2 2 2 2 3 2 6" xfId="3400"/>
    <cellStyle name="Normal 2 2 2 2 25 2 2 2 2 3 2 7" xfId="3401"/>
    <cellStyle name="Normal 2 2 2 2 25 2 2 2 2 3 2 8" xfId="3402"/>
    <cellStyle name="Normal 2 2 2 2 25 2 2 2 2 3 2 9" xfId="3403"/>
    <cellStyle name="Normal 2 2 2 2 25 2 2 2 2 3 3" xfId="3404"/>
    <cellStyle name="Normal 2 2 2 2 25 2 2 2 2 3 3 2" xfId="3405"/>
    <cellStyle name="Normal 2 2 2 2 25 2 2 2 2 3 4" xfId="3406"/>
    <cellStyle name="Normal 2 2 2 2 25 2 2 2 2 3 5" xfId="3407"/>
    <cellStyle name="Normal 2 2 2 2 25 2 2 2 2 3 6" xfId="3408"/>
    <cellStyle name="Normal 2 2 2 2 25 2 2 2 2 3 7" xfId="3409"/>
    <cellStyle name="Normal 2 2 2 2 25 2 2 2 2 3 8" xfId="3410"/>
    <cellStyle name="Normal 2 2 2 2 25 2 2 2 2 3 9" xfId="3411"/>
    <cellStyle name="Normal 2 2 2 2 25 2 2 2 2 4" xfId="3412"/>
    <cellStyle name="Normal 2 2 2 2 25 2 2 2 2 4 2" xfId="3413"/>
    <cellStyle name="Normal 2 2 2 2 25 2 2 2 2 5" xfId="3414"/>
    <cellStyle name="Normal 2 2 2 2 25 2 2 2 2 6" xfId="3415"/>
    <cellStyle name="Normal 2 2 2 2 25 2 2 2 2 7" xfId="3416"/>
    <cellStyle name="Normal 2 2 2 2 25 2 2 2 2 8" xfId="3417"/>
    <cellStyle name="Normal 2 2 2 2 25 2 2 2 2 9" xfId="3418"/>
    <cellStyle name="Normal 2 2 2 2 25 2 2 2 3" xfId="3419"/>
    <cellStyle name="Normal 2 2 2 2 25 2 2 2 3 10" xfId="3420"/>
    <cellStyle name="Normal 2 2 2 2 25 2 2 2 3 11" xfId="3421"/>
    <cellStyle name="Normal 2 2 2 2 25 2 2 2 3 12" xfId="3422"/>
    <cellStyle name="Normal 2 2 2 2 25 2 2 2 3 2" xfId="3423"/>
    <cellStyle name="Normal 2 2 2 2 25 2 2 2 3 2 10" xfId="3424"/>
    <cellStyle name="Normal 2 2 2 2 25 2 2 2 3 2 11" xfId="3425"/>
    <cellStyle name="Normal 2 2 2 2 25 2 2 2 3 2 2" xfId="3426"/>
    <cellStyle name="Normal 2 2 2 2 25 2 2 2 3 2 2 10" xfId="3427"/>
    <cellStyle name="Normal 2 2 2 2 25 2 2 2 3 2 2 11" xfId="3428"/>
    <cellStyle name="Normal 2 2 2 2 25 2 2 2 3 2 2 2" xfId="3429"/>
    <cellStyle name="Normal 2 2 2 2 25 2 2 2 3 2 2 2 2" xfId="3430"/>
    <cellStyle name="Normal 2 2 2 2 25 2 2 2 3 2 2 3" xfId="3431"/>
    <cellStyle name="Normal 2 2 2 2 25 2 2 2 3 2 2 4" xfId="3432"/>
    <cellStyle name="Normal 2 2 2 2 25 2 2 2 3 2 2 5" xfId="3433"/>
    <cellStyle name="Normal 2 2 2 2 25 2 2 2 3 2 2 6" xfId="3434"/>
    <cellStyle name="Normal 2 2 2 2 25 2 2 2 3 2 2 7" xfId="3435"/>
    <cellStyle name="Normal 2 2 2 2 25 2 2 2 3 2 2 8" xfId="3436"/>
    <cellStyle name="Normal 2 2 2 2 25 2 2 2 3 2 2 9" xfId="3437"/>
    <cellStyle name="Normal 2 2 2 2 25 2 2 2 3 2 3" xfId="3438"/>
    <cellStyle name="Normal 2 2 2 2 25 2 2 2 3 2 3 2" xfId="3439"/>
    <cellStyle name="Normal 2 2 2 2 25 2 2 2 3 2 4" xfId="3440"/>
    <cellStyle name="Normal 2 2 2 2 25 2 2 2 3 2 5" xfId="3441"/>
    <cellStyle name="Normal 2 2 2 2 25 2 2 2 3 2 6" xfId="3442"/>
    <cellStyle name="Normal 2 2 2 2 25 2 2 2 3 2 7" xfId="3443"/>
    <cellStyle name="Normal 2 2 2 2 25 2 2 2 3 2 8" xfId="3444"/>
    <cellStyle name="Normal 2 2 2 2 25 2 2 2 3 2 9" xfId="3445"/>
    <cellStyle name="Normal 2 2 2 2 25 2 2 2 3 3" xfId="3446"/>
    <cellStyle name="Normal 2 2 2 2 25 2 2 2 3 3 2" xfId="3447"/>
    <cellStyle name="Normal 2 2 2 2 25 2 2 2 3 4" xfId="3448"/>
    <cellStyle name="Normal 2 2 2 2 25 2 2 2 3 5" xfId="3449"/>
    <cellStyle name="Normal 2 2 2 2 25 2 2 2 3 6" xfId="3450"/>
    <cellStyle name="Normal 2 2 2 2 25 2 2 2 3 7" xfId="3451"/>
    <cellStyle name="Normal 2 2 2 2 25 2 2 2 3 8" xfId="3452"/>
    <cellStyle name="Normal 2 2 2 2 25 2 2 2 3 9" xfId="3453"/>
    <cellStyle name="Normal 2 2 2 2 25 2 2 2 4" xfId="3454"/>
    <cellStyle name="Normal 2 2 2 2 25 2 2 2 4 10" xfId="3455"/>
    <cellStyle name="Normal 2 2 2 2 25 2 2 2 4 11" xfId="3456"/>
    <cellStyle name="Normal 2 2 2 2 25 2 2 2 4 2" xfId="3457"/>
    <cellStyle name="Normal 2 2 2 2 25 2 2 2 4 2 2" xfId="3458"/>
    <cellStyle name="Normal 2 2 2 2 25 2 2 2 4 3" xfId="3459"/>
    <cellStyle name="Normal 2 2 2 2 25 2 2 2 4 4" xfId="3460"/>
    <cellStyle name="Normal 2 2 2 2 25 2 2 2 4 5" xfId="3461"/>
    <cellStyle name="Normal 2 2 2 2 25 2 2 2 4 6" xfId="3462"/>
    <cellStyle name="Normal 2 2 2 2 25 2 2 2 4 7" xfId="3463"/>
    <cellStyle name="Normal 2 2 2 2 25 2 2 2 4 8" xfId="3464"/>
    <cellStyle name="Normal 2 2 2 2 25 2 2 2 4 9" xfId="3465"/>
    <cellStyle name="Normal 2 2 2 2 25 2 2 2 5" xfId="3466"/>
    <cellStyle name="Normal 2 2 2 2 25 2 2 2 5 2" xfId="3467"/>
    <cellStyle name="Normal 2 2 2 2 25 2 2 2 6" xfId="3468"/>
    <cellStyle name="Normal 2 2 2 2 25 2 2 2 7" xfId="3469"/>
    <cellStyle name="Normal 2 2 2 2 25 2 2 2 8" xfId="3470"/>
    <cellStyle name="Normal 2 2 2 2 25 2 2 2 9" xfId="3471"/>
    <cellStyle name="Normal 2 2 2 2 25 2 2 3" xfId="3472"/>
    <cellStyle name="Normal 2 2 2 2 25 2 2 3 10" xfId="3473"/>
    <cellStyle name="Normal 2 2 2 2 25 2 2 3 11" xfId="3474"/>
    <cellStyle name="Normal 2 2 2 2 25 2 2 3 12" xfId="3475"/>
    <cellStyle name="Normal 2 2 2 2 25 2 2 3 2" xfId="3476"/>
    <cellStyle name="Normal 2 2 2 2 25 2 2 3 2 10" xfId="3477"/>
    <cellStyle name="Normal 2 2 2 2 25 2 2 3 2 11" xfId="3478"/>
    <cellStyle name="Normal 2 2 2 2 25 2 2 3 2 12" xfId="3479"/>
    <cellStyle name="Normal 2 2 2 2 25 2 2 3 2 2" xfId="3480"/>
    <cellStyle name="Normal 2 2 2 2 25 2 2 3 2 2 10" xfId="3481"/>
    <cellStyle name="Normal 2 2 2 2 25 2 2 3 2 2 11" xfId="3482"/>
    <cellStyle name="Normal 2 2 2 2 25 2 2 3 2 2 2" xfId="3483"/>
    <cellStyle name="Normal 2 2 2 2 25 2 2 3 2 2 2 10" xfId="3484"/>
    <cellStyle name="Normal 2 2 2 2 25 2 2 3 2 2 2 11" xfId="3485"/>
    <cellStyle name="Normal 2 2 2 2 25 2 2 3 2 2 2 2" xfId="3486"/>
    <cellStyle name="Normal 2 2 2 2 25 2 2 3 2 2 2 2 2" xfId="3487"/>
    <cellStyle name="Normal 2 2 2 2 25 2 2 3 2 2 2 3" xfId="3488"/>
    <cellStyle name="Normal 2 2 2 2 25 2 2 3 2 2 2 4" xfId="3489"/>
    <cellStyle name="Normal 2 2 2 2 25 2 2 3 2 2 2 5" xfId="3490"/>
    <cellStyle name="Normal 2 2 2 2 25 2 2 3 2 2 2 6" xfId="3491"/>
    <cellStyle name="Normal 2 2 2 2 25 2 2 3 2 2 2 7" xfId="3492"/>
    <cellStyle name="Normal 2 2 2 2 25 2 2 3 2 2 2 8" xfId="3493"/>
    <cellStyle name="Normal 2 2 2 2 25 2 2 3 2 2 2 9" xfId="3494"/>
    <cellStyle name="Normal 2 2 2 2 25 2 2 3 2 2 3" xfId="3495"/>
    <cellStyle name="Normal 2 2 2 2 25 2 2 3 2 2 3 2" xfId="3496"/>
    <cellStyle name="Normal 2 2 2 2 25 2 2 3 2 2 4" xfId="3497"/>
    <cellStyle name="Normal 2 2 2 2 25 2 2 3 2 2 5" xfId="3498"/>
    <cellStyle name="Normal 2 2 2 2 25 2 2 3 2 2 6" xfId="3499"/>
    <cellStyle name="Normal 2 2 2 2 25 2 2 3 2 2 7" xfId="3500"/>
    <cellStyle name="Normal 2 2 2 2 25 2 2 3 2 2 8" xfId="3501"/>
    <cellStyle name="Normal 2 2 2 2 25 2 2 3 2 2 9" xfId="3502"/>
    <cellStyle name="Normal 2 2 2 2 25 2 2 3 2 3" xfId="3503"/>
    <cellStyle name="Normal 2 2 2 2 25 2 2 3 2 3 2" xfId="3504"/>
    <cellStyle name="Normal 2 2 2 2 25 2 2 3 2 4" xfId="3505"/>
    <cellStyle name="Normal 2 2 2 2 25 2 2 3 2 5" xfId="3506"/>
    <cellStyle name="Normal 2 2 2 2 25 2 2 3 2 6" xfId="3507"/>
    <cellStyle name="Normal 2 2 2 2 25 2 2 3 2 7" xfId="3508"/>
    <cellStyle name="Normal 2 2 2 2 25 2 2 3 2 8" xfId="3509"/>
    <cellStyle name="Normal 2 2 2 2 25 2 2 3 2 9" xfId="3510"/>
    <cellStyle name="Normal 2 2 2 2 25 2 2 3 3" xfId="3511"/>
    <cellStyle name="Normal 2 2 2 2 25 2 2 3 3 10" xfId="3512"/>
    <cellStyle name="Normal 2 2 2 2 25 2 2 3 3 11" xfId="3513"/>
    <cellStyle name="Normal 2 2 2 2 25 2 2 3 3 2" xfId="3514"/>
    <cellStyle name="Normal 2 2 2 2 25 2 2 3 3 2 2" xfId="3515"/>
    <cellStyle name="Normal 2 2 2 2 25 2 2 3 3 3" xfId="3516"/>
    <cellStyle name="Normal 2 2 2 2 25 2 2 3 3 4" xfId="3517"/>
    <cellStyle name="Normal 2 2 2 2 25 2 2 3 3 5" xfId="3518"/>
    <cellStyle name="Normal 2 2 2 2 25 2 2 3 3 6" xfId="3519"/>
    <cellStyle name="Normal 2 2 2 2 25 2 2 3 3 7" xfId="3520"/>
    <cellStyle name="Normal 2 2 2 2 25 2 2 3 3 8" xfId="3521"/>
    <cellStyle name="Normal 2 2 2 2 25 2 2 3 3 9" xfId="3522"/>
    <cellStyle name="Normal 2 2 2 2 25 2 2 3 4" xfId="3523"/>
    <cellStyle name="Normal 2 2 2 2 25 2 2 3 4 2" xfId="3524"/>
    <cellStyle name="Normal 2 2 2 2 25 2 2 3 5" xfId="3525"/>
    <cellStyle name="Normal 2 2 2 2 25 2 2 3 6" xfId="3526"/>
    <cellStyle name="Normal 2 2 2 2 25 2 2 3 7" xfId="3527"/>
    <cellStyle name="Normal 2 2 2 2 25 2 2 3 8" xfId="3528"/>
    <cellStyle name="Normal 2 2 2 2 25 2 2 3 9" xfId="3529"/>
    <cellStyle name="Normal 2 2 2 2 25 2 2 4" xfId="3530"/>
    <cellStyle name="Normal 2 2 2 2 25 2 2 4 10" xfId="3531"/>
    <cellStyle name="Normal 2 2 2 2 25 2 2 4 11" xfId="3532"/>
    <cellStyle name="Normal 2 2 2 2 25 2 2 4 2" xfId="3533"/>
    <cellStyle name="Normal 2 2 2 2 25 2 2 4 2 10" xfId="3534"/>
    <cellStyle name="Normal 2 2 2 2 25 2 2 4 2 11" xfId="3535"/>
    <cellStyle name="Normal 2 2 2 2 25 2 2 4 2 2" xfId="3536"/>
    <cellStyle name="Normal 2 2 2 2 25 2 2 4 2 2 2" xfId="3537"/>
    <cellStyle name="Normal 2 2 2 2 25 2 2 4 2 3" xfId="3538"/>
    <cellStyle name="Normal 2 2 2 2 25 2 2 4 2 4" xfId="3539"/>
    <cellStyle name="Normal 2 2 2 2 25 2 2 4 2 5" xfId="3540"/>
    <cellStyle name="Normal 2 2 2 2 25 2 2 4 2 6" xfId="3541"/>
    <cellStyle name="Normal 2 2 2 2 25 2 2 4 2 7" xfId="3542"/>
    <cellStyle name="Normal 2 2 2 2 25 2 2 4 2 8" xfId="3543"/>
    <cellStyle name="Normal 2 2 2 2 25 2 2 4 2 9" xfId="3544"/>
    <cellStyle name="Normal 2 2 2 2 25 2 2 4 3" xfId="3545"/>
    <cellStyle name="Normal 2 2 2 2 25 2 2 4 3 2" xfId="3546"/>
    <cellStyle name="Normal 2 2 2 2 25 2 2 4 4" xfId="3547"/>
    <cellStyle name="Normal 2 2 2 2 25 2 2 4 5" xfId="3548"/>
    <cellStyle name="Normal 2 2 2 2 25 2 2 4 6" xfId="3549"/>
    <cellStyle name="Normal 2 2 2 2 25 2 2 4 7" xfId="3550"/>
    <cellStyle name="Normal 2 2 2 2 25 2 2 4 8" xfId="3551"/>
    <cellStyle name="Normal 2 2 2 2 25 2 2 4 9" xfId="3552"/>
    <cellStyle name="Normal 2 2 2 2 25 2 2 5" xfId="3553"/>
    <cellStyle name="Normal 2 2 2 2 25 2 2 5 2" xfId="3554"/>
    <cellStyle name="Normal 2 2 2 2 25 2 2 6" xfId="3555"/>
    <cellStyle name="Normal 2 2 2 2 25 2 2 7" xfId="3556"/>
    <cellStyle name="Normal 2 2 2 2 25 2 2 8" xfId="3557"/>
    <cellStyle name="Normal 2 2 2 2 25 2 2 9" xfId="3558"/>
    <cellStyle name="Normal 2 2 2 2 25 2 3" xfId="3559"/>
    <cellStyle name="Normal 2 2 2 2 25 2 3 10" xfId="3560"/>
    <cellStyle name="Normal 2 2 2 2 25 2 3 11" xfId="3561"/>
    <cellStyle name="Normal 2 2 2 2 25 2 3 12" xfId="3562"/>
    <cellStyle name="Normal 2 2 2 2 25 2 3 13" xfId="3563"/>
    <cellStyle name="Normal 2 2 2 2 25 2 3 2" xfId="3564"/>
    <cellStyle name="Normal 2 2 2 2 25 2 3 2 10" xfId="3565"/>
    <cellStyle name="Normal 2 2 2 2 25 2 3 2 11" xfId="3566"/>
    <cellStyle name="Normal 2 2 2 2 25 2 3 2 12" xfId="3567"/>
    <cellStyle name="Normal 2 2 2 2 25 2 3 2 2" xfId="3568"/>
    <cellStyle name="Normal 2 2 2 2 25 2 3 2 2 10" xfId="3569"/>
    <cellStyle name="Normal 2 2 2 2 25 2 3 2 2 11" xfId="3570"/>
    <cellStyle name="Normal 2 2 2 2 25 2 3 2 2 12" xfId="3571"/>
    <cellStyle name="Normal 2 2 2 2 25 2 3 2 2 2" xfId="3572"/>
    <cellStyle name="Normal 2 2 2 2 25 2 3 2 2 2 10" xfId="3573"/>
    <cellStyle name="Normal 2 2 2 2 25 2 3 2 2 2 11" xfId="3574"/>
    <cellStyle name="Normal 2 2 2 2 25 2 3 2 2 2 2" xfId="3575"/>
    <cellStyle name="Normal 2 2 2 2 25 2 3 2 2 2 2 10" xfId="3576"/>
    <cellStyle name="Normal 2 2 2 2 25 2 3 2 2 2 2 11" xfId="3577"/>
    <cellStyle name="Normal 2 2 2 2 25 2 3 2 2 2 2 2" xfId="3578"/>
    <cellStyle name="Normal 2 2 2 2 25 2 3 2 2 2 2 2 2" xfId="3579"/>
    <cellStyle name="Normal 2 2 2 2 25 2 3 2 2 2 2 3" xfId="3580"/>
    <cellStyle name="Normal 2 2 2 2 25 2 3 2 2 2 2 4" xfId="3581"/>
    <cellStyle name="Normal 2 2 2 2 25 2 3 2 2 2 2 5" xfId="3582"/>
    <cellStyle name="Normal 2 2 2 2 25 2 3 2 2 2 2 6" xfId="3583"/>
    <cellStyle name="Normal 2 2 2 2 25 2 3 2 2 2 2 7" xfId="3584"/>
    <cellStyle name="Normal 2 2 2 2 25 2 3 2 2 2 2 8" xfId="3585"/>
    <cellStyle name="Normal 2 2 2 2 25 2 3 2 2 2 2 9" xfId="3586"/>
    <cellStyle name="Normal 2 2 2 2 25 2 3 2 2 2 3" xfId="3587"/>
    <cellStyle name="Normal 2 2 2 2 25 2 3 2 2 2 3 2" xfId="3588"/>
    <cellStyle name="Normal 2 2 2 2 25 2 3 2 2 2 4" xfId="3589"/>
    <cellStyle name="Normal 2 2 2 2 25 2 3 2 2 2 5" xfId="3590"/>
    <cellStyle name="Normal 2 2 2 2 25 2 3 2 2 2 6" xfId="3591"/>
    <cellStyle name="Normal 2 2 2 2 25 2 3 2 2 2 7" xfId="3592"/>
    <cellStyle name="Normal 2 2 2 2 25 2 3 2 2 2 8" xfId="3593"/>
    <cellStyle name="Normal 2 2 2 2 25 2 3 2 2 2 9" xfId="3594"/>
    <cellStyle name="Normal 2 2 2 2 25 2 3 2 2 3" xfId="3595"/>
    <cellStyle name="Normal 2 2 2 2 25 2 3 2 2 3 2" xfId="3596"/>
    <cellStyle name="Normal 2 2 2 2 25 2 3 2 2 4" xfId="3597"/>
    <cellStyle name="Normal 2 2 2 2 25 2 3 2 2 5" xfId="3598"/>
    <cellStyle name="Normal 2 2 2 2 25 2 3 2 2 6" xfId="3599"/>
    <cellStyle name="Normal 2 2 2 2 25 2 3 2 2 7" xfId="3600"/>
    <cellStyle name="Normal 2 2 2 2 25 2 3 2 2 8" xfId="3601"/>
    <cellStyle name="Normal 2 2 2 2 25 2 3 2 2 9" xfId="3602"/>
    <cellStyle name="Normal 2 2 2 2 25 2 3 2 3" xfId="3603"/>
    <cellStyle name="Normal 2 2 2 2 25 2 3 2 3 10" xfId="3604"/>
    <cellStyle name="Normal 2 2 2 2 25 2 3 2 3 11" xfId="3605"/>
    <cellStyle name="Normal 2 2 2 2 25 2 3 2 3 2" xfId="3606"/>
    <cellStyle name="Normal 2 2 2 2 25 2 3 2 3 2 2" xfId="3607"/>
    <cellStyle name="Normal 2 2 2 2 25 2 3 2 3 3" xfId="3608"/>
    <cellStyle name="Normal 2 2 2 2 25 2 3 2 3 4" xfId="3609"/>
    <cellStyle name="Normal 2 2 2 2 25 2 3 2 3 5" xfId="3610"/>
    <cellStyle name="Normal 2 2 2 2 25 2 3 2 3 6" xfId="3611"/>
    <cellStyle name="Normal 2 2 2 2 25 2 3 2 3 7" xfId="3612"/>
    <cellStyle name="Normal 2 2 2 2 25 2 3 2 3 8" xfId="3613"/>
    <cellStyle name="Normal 2 2 2 2 25 2 3 2 3 9" xfId="3614"/>
    <cellStyle name="Normal 2 2 2 2 25 2 3 2 4" xfId="3615"/>
    <cellStyle name="Normal 2 2 2 2 25 2 3 2 4 2" xfId="3616"/>
    <cellStyle name="Normal 2 2 2 2 25 2 3 2 5" xfId="3617"/>
    <cellStyle name="Normal 2 2 2 2 25 2 3 2 6" xfId="3618"/>
    <cellStyle name="Normal 2 2 2 2 25 2 3 2 7" xfId="3619"/>
    <cellStyle name="Normal 2 2 2 2 25 2 3 2 8" xfId="3620"/>
    <cellStyle name="Normal 2 2 2 2 25 2 3 2 9" xfId="3621"/>
    <cellStyle name="Normal 2 2 2 2 25 2 3 3" xfId="3622"/>
    <cellStyle name="Normal 2 2 2 2 25 2 3 3 10" xfId="3623"/>
    <cellStyle name="Normal 2 2 2 2 25 2 3 3 11" xfId="3624"/>
    <cellStyle name="Normal 2 2 2 2 25 2 3 3 2" xfId="3625"/>
    <cellStyle name="Normal 2 2 2 2 25 2 3 3 2 10" xfId="3626"/>
    <cellStyle name="Normal 2 2 2 2 25 2 3 3 2 11" xfId="3627"/>
    <cellStyle name="Normal 2 2 2 2 25 2 3 3 2 2" xfId="3628"/>
    <cellStyle name="Normal 2 2 2 2 25 2 3 3 2 2 2" xfId="3629"/>
    <cellStyle name="Normal 2 2 2 2 25 2 3 3 2 3" xfId="3630"/>
    <cellStyle name="Normal 2 2 2 2 25 2 3 3 2 4" xfId="3631"/>
    <cellStyle name="Normal 2 2 2 2 25 2 3 3 2 5" xfId="3632"/>
    <cellStyle name="Normal 2 2 2 2 25 2 3 3 2 6" xfId="3633"/>
    <cellStyle name="Normal 2 2 2 2 25 2 3 3 2 7" xfId="3634"/>
    <cellStyle name="Normal 2 2 2 2 25 2 3 3 2 8" xfId="3635"/>
    <cellStyle name="Normal 2 2 2 2 25 2 3 3 2 9" xfId="3636"/>
    <cellStyle name="Normal 2 2 2 2 25 2 3 3 3" xfId="3637"/>
    <cellStyle name="Normal 2 2 2 2 25 2 3 3 3 2" xfId="3638"/>
    <cellStyle name="Normal 2 2 2 2 25 2 3 3 4" xfId="3639"/>
    <cellStyle name="Normal 2 2 2 2 25 2 3 3 5" xfId="3640"/>
    <cellStyle name="Normal 2 2 2 2 25 2 3 3 6" xfId="3641"/>
    <cellStyle name="Normal 2 2 2 2 25 2 3 3 7" xfId="3642"/>
    <cellStyle name="Normal 2 2 2 2 25 2 3 3 8" xfId="3643"/>
    <cellStyle name="Normal 2 2 2 2 25 2 3 3 9" xfId="3644"/>
    <cellStyle name="Normal 2 2 2 2 25 2 3 4" xfId="3645"/>
    <cellStyle name="Normal 2 2 2 2 25 2 3 4 2" xfId="3646"/>
    <cellStyle name="Normal 2 2 2 2 25 2 3 5" xfId="3647"/>
    <cellStyle name="Normal 2 2 2 2 25 2 3 6" xfId="3648"/>
    <cellStyle name="Normal 2 2 2 2 25 2 3 7" xfId="3649"/>
    <cellStyle name="Normal 2 2 2 2 25 2 3 8" xfId="3650"/>
    <cellStyle name="Normal 2 2 2 2 25 2 3 9" xfId="3651"/>
    <cellStyle name="Normal 2 2 2 2 25 2 4" xfId="3652"/>
    <cellStyle name="Normal 2 2 2 2 25 2 4 10" xfId="3653"/>
    <cellStyle name="Normal 2 2 2 2 25 2 4 11" xfId="3654"/>
    <cellStyle name="Normal 2 2 2 2 25 2 4 12" xfId="3655"/>
    <cellStyle name="Normal 2 2 2 2 25 2 4 2" xfId="3656"/>
    <cellStyle name="Normal 2 2 2 2 25 2 4 2 10" xfId="3657"/>
    <cellStyle name="Normal 2 2 2 2 25 2 4 2 11" xfId="3658"/>
    <cellStyle name="Normal 2 2 2 2 25 2 4 2 2" xfId="3659"/>
    <cellStyle name="Normal 2 2 2 2 25 2 4 2 2 10" xfId="3660"/>
    <cellStyle name="Normal 2 2 2 2 25 2 4 2 2 11" xfId="3661"/>
    <cellStyle name="Normal 2 2 2 2 25 2 4 2 2 2" xfId="3662"/>
    <cellStyle name="Normal 2 2 2 2 25 2 4 2 2 2 2" xfId="3663"/>
    <cellStyle name="Normal 2 2 2 2 25 2 4 2 2 3" xfId="3664"/>
    <cellStyle name="Normal 2 2 2 2 25 2 4 2 2 4" xfId="3665"/>
    <cellStyle name="Normal 2 2 2 2 25 2 4 2 2 5" xfId="3666"/>
    <cellStyle name="Normal 2 2 2 2 25 2 4 2 2 6" xfId="3667"/>
    <cellStyle name="Normal 2 2 2 2 25 2 4 2 2 7" xfId="3668"/>
    <cellStyle name="Normal 2 2 2 2 25 2 4 2 2 8" xfId="3669"/>
    <cellStyle name="Normal 2 2 2 2 25 2 4 2 2 9" xfId="3670"/>
    <cellStyle name="Normal 2 2 2 2 25 2 4 2 3" xfId="3671"/>
    <cellStyle name="Normal 2 2 2 2 25 2 4 2 3 2" xfId="3672"/>
    <cellStyle name="Normal 2 2 2 2 25 2 4 2 4" xfId="3673"/>
    <cellStyle name="Normal 2 2 2 2 25 2 4 2 5" xfId="3674"/>
    <cellStyle name="Normal 2 2 2 2 25 2 4 2 6" xfId="3675"/>
    <cellStyle name="Normal 2 2 2 2 25 2 4 2 7" xfId="3676"/>
    <cellStyle name="Normal 2 2 2 2 25 2 4 2 8" xfId="3677"/>
    <cellStyle name="Normal 2 2 2 2 25 2 4 2 9" xfId="3678"/>
    <cellStyle name="Normal 2 2 2 2 25 2 4 3" xfId="3679"/>
    <cellStyle name="Normal 2 2 2 2 25 2 4 3 2" xfId="3680"/>
    <cellStyle name="Normal 2 2 2 2 25 2 4 4" xfId="3681"/>
    <cellStyle name="Normal 2 2 2 2 25 2 4 5" xfId="3682"/>
    <cellStyle name="Normal 2 2 2 2 25 2 4 6" xfId="3683"/>
    <cellStyle name="Normal 2 2 2 2 25 2 4 7" xfId="3684"/>
    <cellStyle name="Normal 2 2 2 2 25 2 4 8" xfId="3685"/>
    <cellStyle name="Normal 2 2 2 2 25 2 4 9" xfId="3686"/>
    <cellStyle name="Normal 2 2 2 2 25 2 5" xfId="3687"/>
    <cellStyle name="Normal 2 2 2 2 25 2 5 10" xfId="3688"/>
    <cellStyle name="Normal 2 2 2 2 25 2 5 11" xfId="3689"/>
    <cellStyle name="Normal 2 2 2 2 25 2 5 2" xfId="3690"/>
    <cellStyle name="Normal 2 2 2 2 25 2 5 2 2" xfId="3691"/>
    <cellStyle name="Normal 2 2 2 2 25 2 5 3" xfId="3692"/>
    <cellStyle name="Normal 2 2 2 2 25 2 5 4" xfId="3693"/>
    <cellStyle name="Normal 2 2 2 2 25 2 5 5" xfId="3694"/>
    <cellStyle name="Normal 2 2 2 2 25 2 5 6" xfId="3695"/>
    <cellStyle name="Normal 2 2 2 2 25 2 5 7" xfId="3696"/>
    <cellStyle name="Normal 2 2 2 2 25 2 5 8" xfId="3697"/>
    <cellStyle name="Normal 2 2 2 2 25 2 5 9" xfId="3698"/>
    <cellStyle name="Normal 2 2 2 2 25 2 6" xfId="3699"/>
    <cellStyle name="Normal 2 2 2 2 25 2 6 2" xfId="3700"/>
    <cellStyle name="Normal 2 2 2 2 25 2 7" xfId="3701"/>
    <cellStyle name="Normal 2 2 2 2 25 2 8" xfId="3702"/>
    <cellStyle name="Normal 2 2 2 2 25 2 9" xfId="3703"/>
    <cellStyle name="Normal 2 2 2 2 25 3" xfId="3704"/>
    <cellStyle name="Normal 2 2 2 2 25 3 10" xfId="3705"/>
    <cellStyle name="Normal 2 2 2 2 25 3 11" xfId="3706"/>
    <cellStyle name="Normal 2 2 2 2 25 3 12" xfId="3707"/>
    <cellStyle name="Normal 2 2 2 2 25 3 13" xfId="3708"/>
    <cellStyle name="Normal 2 2 2 2 25 3 2" xfId="3709"/>
    <cellStyle name="Normal 2 2 2 2 25 3 2 10" xfId="3710"/>
    <cellStyle name="Normal 2 2 2 2 25 3 2 11" xfId="3711"/>
    <cellStyle name="Normal 2 2 2 2 25 3 2 12" xfId="3712"/>
    <cellStyle name="Normal 2 2 2 2 25 3 2 13" xfId="3713"/>
    <cellStyle name="Normal 2 2 2 2 25 3 2 2" xfId="3714"/>
    <cellStyle name="Normal 2 2 2 2 25 3 2 2 10" xfId="3715"/>
    <cellStyle name="Normal 2 2 2 2 25 3 2 2 11" xfId="3716"/>
    <cellStyle name="Normal 2 2 2 2 25 3 2 2 12" xfId="3717"/>
    <cellStyle name="Normal 2 2 2 2 25 3 2 2 2" xfId="3718"/>
    <cellStyle name="Normal 2 2 2 2 25 3 2 2 2 10" xfId="3719"/>
    <cellStyle name="Normal 2 2 2 2 25 3 2 2 2 11" xfId="3720"/>
    <cellStyle name="Normal 2 2 2 2 25 3 2 2 2 12" xfId="3721"/>
    <cellStyle name="Normal 2 2 2 2 25 3 2 2 2 2" xfId="3722"/>
    <cellStyle name="Normal 2 2 2 2 25 3 2 2 2 2 10" xfId="3723"/>
    <cellStyle name="Normal 2 2 2 2 25 3 2 2 2 2 11" xfId="3724"/>
    <cellStyle name="Normal 2 2 2 2 25 3 2 2 2 2 2" xfId="3725"/>
    <cellStyle name="Normal 2 2 2 2 25 3 2 2 2 2 2 10" xfId="3726"/>
    <cellStyle name="Normal 2 2 2 2 25 3 2 2 2 2 2 11" xfId="3727"/>
    <cellStyle name="Normal 2 2 2 2 25 3 2 2 2 2 2 2" xfId="3728"/>
    <cellStyle name="Normal 2 2 2 2 25 3 2 2 2 2 2 2 2" xfId="3729"/>
    <cellStyle name="Normal 2 2 2 2 25 3 2 2 2 2 2 3" xfId="3730"/>
    <cellStyle name="Normal 2 2 2 2 25 3 2 2 2 2 2 4" xfId="3731"/>
    <cellStyle name="Normal 2 2 2 2 25 3 2 2 2 2 2 5" xfId="3732"/>
    <cellStyle name="Normal 2 2 2 2 25 3 2 2 2 2 2 6" xfId="3733"/>
    <cellStyle name="Normal 2 2 2 2 25 3 2 2 2 2 2 7" xfId="3734"/>
    <cellStyle name="Normal 2 2 2 2 25 3 2 2 2 2 2 8" xfId="3735"/>
    <cellStyle name="Normal 2 2 2 2 25 3 2 2 2 2 2 9" xfId="3736"/>
    <cellStyle name="Normal 2 2 2 2 25 3 2 2 2 2 3" xfId="3737"/>
    <cellStyle name="Normal 2 2 2 2 25 3 2 2 2 2 3 2" xfId="3738"/>
    <cellStyle name="Normal 2 2 2 2 25 3 2 2 2 2 4" xfId="3739"/>
    <cellStyle name="Normal 2 2 2 2 25 3 2 2 2 2 5" xfId="3740"/>
    <cellStyle name="Normal 2 2 2 2 25 3 2 2 2 2 6" xfId="3741"/>
    <cellStyle name="Normal 2 2 2 2 25 3 2 2 2 2 7" xfId="3742"/>
    <cellStyle name="Normal 2 2 2 2 25 3 2 2 2 2 8" xfId="3743"/>
    <cellStyle name="Normal 2 2 2 2 25 3 2 2 2 2 9" xfId="3744"/>
    <cellStyle name="Normal 2 2 2 2 25 3 2 2 2 3" xfId="3745"/>
    <cellStyle name="Normal 2 2 2 2 25 3 2 2 2 3 2" xfId="3746"/>
    <cellStyle name="Normal 2 2 2 2 25 3 2 2 2 4" xfId="3747"/>
    <cellStyle name="Normal 2 2 2 2 25 3 2 2 2 5" xfId="3748"/>
    <cellStyle name="Normal 2 2 2 2 25 3 2 2 2 6" xfId="3749"/>
    <cellStyle name="Normal 2 2 2 2 25 3 2 2 2 7" xfId="3750"/>
    <cellStyle name="Normal 2 2 2 2 25 3 2 2 2 8" xfId="3751"/>
    <cellStyle name="Normal 2 2 2 2 25 3 2 2 2 9" xfId="3752"/>
    <cellStyle name="Normal 2 2 2 2 25 3 2 2 3" xfId="3753"/>
    <cellStyle name="Normal 2 2 2 2 25 3 2 2 3 10" xfId="3754"/>
    <cellStyle name="Normal 2 2 2 2 25 3 2 2 3 11" xfId="3755"/>
    <cellStyle name="Normal 2 2 2 2 25 3 2 2 3 2" xfId="3756"/>
    <cellStyle name="Normal 2 2 2 2 25 3 2 2 3 2 2" xfId="3757"/>
    <cellStyle name="Normal 2 2 2 2 25 3 2 2 3 3" xfId="3758"/>
    <cellStyle name="Normal 2 2 2 2 25 3 2 2 3 4" xfId="3759"/>
    <cellStyle name="Normal 2 2 2 2 25 3 2 2 3 5" xfId="3760"/>
    <cellStyle name="Normal 2 2 2 2 25 3 2 2 3 6" xfId="3761"/>
    <cellStyle name="Normal 2 2 2 2 25 3 2 2 3 7" xfId="3762"/>
    <cellStyle name="Normal 2 2 2 2 25 3 2 2 3 8" xfId="3763"/>
    <cellStyle name="Normal 2 2 2 2 25 3 2 2 3 9" xfId="3764"/>
    <cellStyle name="Normal 2 2 2 2 25 3 2 2 4" xfId="3765"/>
    <cellStyle name="Normal 2 2 2 2 25 3 2 2 4 2" xfId="3766"/>
    <cellStyle name="Normal 2 2 2 2 25 3 2 2 5" xfId="3767"/>
    <cellStyle name="Normal 2 2 2 2 25 3 2 2 6" xfId="3768"/>
    <cellStyle name="Normal 2 2 2 2 25 3 2 2 7" xfId="3769"/>
    <cellStyle name="Normal 2 2 2 2 25 3 2 2 8" xfId="3770"/>
    <cellStyle name="Normal 2 2 2 2 25 3 2 2 9" xfId="3771"/>
    <cellStyle name="Normal 2 2 2 2 25 3 2 3" xfId="3772"/>
    <cellStyle name="Normal 2 2 2 2 25 3 2 3 10" xfId="3773"/>
    <cellStyle name="Normal 2 2 2 2 25 3 2 3 11" xfId="3774"/>
    <cellStyle name="Normal 2 2 2 2 25 3 2 3 2" xfId="3775"/>
    <cellStyle name="Normal 2 2 2 2 25 3 2 3 2 10" xfId="3776"/>
    <cellStyle name="Normal 2 2 2 2 25 3 2 3 2 11" xfId="3777"/>
    <cellStyle name="Normal 2 2 2 2 25 3 2 3 2 2" xfId="3778"/>
    <cellStyle name="Normal 2 2 2 2 25 3 2 3 2 2 2" xfId="3779"/>
    <cellStyle name="Normal 2 2 2 2 25 3 2 3 2 3" xfId="3780"/>
    <cellStyle name="Normal 2 2 2 2 25 3 2 3 2 4" xfId="3781"/>
    <cellStyle name="Normal 2 2 2 2 25 3 2 3 2 5" xfId="3782"/>
    <cellStyle name="Normal 2 2 2 2 25 3 2 3 2 6" xfId="3783"/>
    <cellStyle name="Normal 2 2 2 2 25 3 2 3 2 7" xfId="3784"/>
    <cellStyle name="Normal 2 2 2 2 25 3 2 3 2 8" xfId="3785"/>
    <cellStyle name="Normal 2 2 2 2 25 3 2 3 2 9" xfId="3786"/>
    <cellStyle name="Normal 2 2 2 2 25 3 2 3 3" xfId="3787"/>
    <cellStyle name="Normal 2 2 2 2 25 3 2 3 3 2" xfId="3788"/>
    <cellStyle name="Normal 2 2 2 2 25 3 2 3 4" xfId="3789"/>
    <cellStyle name="Normal 2 2 2 2 25 3 2 3 5" xfId="3790"/>
    <cellStyle name="Normal 2 2 2 2 25 3 2 3 6" xfId="3791"/>
    <cellStyle name="Normal 2 2 2 2 25 3 2 3 7" xfId="3792"/>
    <cellStyle name="Normal 2 2 2 2 25 3 2 3 8" xfId="3793"/>
    <cellStyle name="Normal 2 2 2 2 25 3 2 3 9" xfId="3794"/>
    <cellStyle name="Normal 2 2 2 2 25 3 2 4" xfId="3795"/>
    <cellStyle name="Normal 2 2 2 2 25 3 2 4 2" xfId="3796"/>
    <cellStyle name="Normal 2 2 2 2 25 3 2 5" xfId="3797"/>
    <cellStyle name="Normal 2 2 2 2 25 3 2 6" xfId="3798"/>
    <cellStyle name="Normal 2 2 2 2 25 3 2 7" xfId="3799"/>
    <cellStyle name="Normal 2 2 2 2 25 3 2 8" xfId="3800"/>
    <cellStyle name="Normal 2 2 2 2 25 3 2 9" xfId="3801"/>
    <cellStyle name="Normal 2 2 2 2 25 3 3" xfId="3802"/>
    <cellStyle name="Normal 2 2 2 2 25 3 3 10" xfId="3803"/>
    <cellStyle name="Normal 2 2 2 2 25 3 3 11" xfId="3804"/>
    <cellStyle name="Normal 2 2 2 2 25 3 3 12" xfId="3805"/>
    <cellStyle name="Normal 2 2 2 2 25 3 3 2" xfId="3806"/>
    <cellStyle name="Normal 2 2 2 2 25 3 3 2 10" xfId="3807"/>
    <cellStyle name="Normal 2 2 2 2 25 3 3 2 11" xfId="3808"/>
    <cellStyle name="Normal 2 2 2 2 25 3 3 2 2" xfId="3809"/>
    <cellStyle name="Normal 2 2 2 2 25 3 3 2 2 10" xfId="3810"/>
    <cellStyle name="Normal 2 2 2 2 25 3 3 2 2 11" xfId="3811"/>
    <cellStyle name="Normal 2 2 2 2 25 3 3 2 2 2" xfId="3812"/>
    <cellStyle name="Normal 2 2 2 2 25 3 3 2 2 2 2" xfId="3813"/>
    <cellStyle name="Normal 2 2 2 2 25 3 3 2 2 3" xfId="3814"/>
    <cellStyle name="Normal 2 2 2 2 25 3 3 2 2 4" xfId="3815"/>
    <cellStyle name="Normal 2 2 2 2 25 3 3 2 2 5" xfId="3816"/>
    <cellStyle name="Normal 2 2 2 2 25 3 3 2 2 6" xfId="3817"/>
    <cellStyle name="Normal 2 2 2 2 25 3 3 2 2 7" xfId="3818"/>
    <cellStyle name="Normal 2 2 2 2 25 3 3 2 2 8" xfId="3819"/>
    <cellStyle name="Normal 2 2 2 2 25 3 3 2 2 9" xfId="3820"/>
    <cellStyle name="Normal 2 2 2 2 25 3 3 2 3" xfId="3821"/>
    <cellStyle name="Normal 2 2 2 2 25 3 3 2 3 2" xfId="3822"/>
    <cellStyle name="Normal 2 2 2 2 25 3 3 2 4" xfId="3823"/>
    <cellStyle name="Normal 2 2 2 2 25 3 3 2 5" xfId="3824"/>
    <cellStyle name="Normal 2 2 2 2 25 3 3 2 6" xfId="3825"/>
    <cellStyle name="Normal 2 2 2 2 25 3 3 2 7" xfId="3826"/>
    <cellStyle name="Normal 2 2 2 2 25 3 3 2 8" xfId="3827"/>
    <cellStyle name="Normal 2 2 2 2 25 3 3 2 9" xfId="3828"/>
    <cellStyle name="Normal 2 2 2 2 25 3 3 3" xfId="3829"/>
    <cellStyle name="Normal 2 2 2 2 25 3 3 3 2" xfId="3830"/>
    <cellStyle name="Normal 2 2 2 2 25 3 3 4" xfId="3831"/>
    <cellStyle name="Normal 2 2 2 2 25 3 3 5" xfId="3832"/>
    <cellStyle name="Normal 2 2 2 2 25 3 3 6" xfId="3833"/>
    <cellStyle name="Normal 2 2 2 2 25 3 3 7" xfId="3834"/>
    <cellStyle name="Normal 2 2 2 2 25 3 3 8" xfId="3835"/>
    <cellStyle name="Normal 2 2 2 2 25 3 3 9" xfId="3836"/>
    <cellStyle name="Normal 2 2 2 2 25 3 4" xfId="3837"/>
    <cellStyle name="Normal 2 2 2 2 25 3 4 10" xfId="3838"/>
    <cellStyle name="Normal 2 2 2 2 25 3 4 11" xfId="3839"/>
    <cellStyle name="Normal 2 2 2 2 25 3 4 2" xfId="3840"/>
    <cellStyle name="Normal 2 2 2 2 25 3 4 2 2" xfId="3841"/>
    <cellStyle name="Normal 2 2 2 2 25 3 4 3" xfId="3842"/>
    <cellStyle name="Normal 2 2 2 2 25 3 4 4" xfId="3843"/>
    <cellStyle name="Normal 2 2 2 2 25 3 4 5" xfId="3844"/>
    <cellStyle name="Normal 2 2 2 2 25 3 4 6" xfId="3845"/>
    <cellStyle name="Normal 2 2 2 2 25 3 4 7" xfId="3846"/>
    <cellStyle name="Normal 2 2 2 2 25 3 4 8" xfId="3847"/>
    <cellStyle name="Normal 2 2 2 2 25 3 4 9" xfId="3848"/>
    <cellStyle name="Normal 2 2 2 2 25 3 5" xfId="3849"/>
    <cellStyle name="Normal 2 2 2 2 25 3 5 2" xfId="3850"/>
    <cellStyle name="Normal 2 2 2 2 25 3 6" xfId="3851"/>
    <cellStyle name="Normal 2 2 2 2 25 3 7" xfId="3852"/>
    <cellStyle name="Normal 2 2 2 2 25 3 8" xfId="3853"/>
    <cellStyle name="Normal 2 2 2 2 25 3 9" xfId="3854"/>
    <cellStyle name="Normal 2 2 2 2 25 4" xfId="3855"/>
    <cellStyle name="Normal 2 2 2 2 25 4 10" xfId="3856"/>
    <cellStyle name="Normal 2 2 2 2 25 4 11" xfId="3857"/>
    <cellStyle name="Normal 2 2 2 2 25 4 12" xfId="3858"/>
    <cellStyle name="Normal 2 2 2 2 25 4 2" xfId="3859"/>
    <cellStyle name="Normal 2 2 2 2 25 4 2 10" xfId="3860"/>
    <cellStyle name="Normal 2 2 2 2 25 4 2 11" xfId="3861"/>
    <cellStyle name="Normal 2 2 2 2 25 4 2 12" xfId="3862"/>
    <cellStyle name="Normal 2 2 2 2 25 4 2 2" xfId="3863"/>
    <cellStyle name="Normal 2 2 2 2 25 4 2 2 10" xfId="3864"/>
    <cellStyle name="Normal 2 2 2 2 25 4 2 2 11" xfId="3865"/>
    <cellStyle name="Normal 2 2 2 2 25 4 2 2 2" xfId="3866"/>
    <cellStyle name="Normal 2 2 2 2 25 4 2 2 2 10" xfId="3867"/>
    <cellStyle name="Normal 2 2 2 2 25 4 2 2 2 11" xfId="3868"/>
    <cellStyle name="Normal 2 2 2 2 25 4 2 2 2 2" xfId="3869"/>
    <cellStyle name="Normal 2 2 2 2 25 4 2 2 2 2 2" xfId="3870"/>
    <cellStyle name="Normal 2 2 2 2 25 4 2 2 2 3" xfId="3871"/>
    <cellStyle name="Normal 2 2 2 2 25 4 2 2 2 4" xfId="3872"/>
    <cellStyle name="Normal 2 2 2 2 25 4 2 2 2 5" xfId="3873"/>
    <cellStyle name="Normal 2 2 2 2 25 4 2 2 2 6" xfId="3874"/>
    <cellStyle name="Normal 2 2 2 2 25 4 2 2 2 7" xfId="3875"/>
    <cellStyle name="Normal 2 2 2 2 25 4 2 2 2 8" xfId="3876"/>
    <cellStyle name="Normal 2 2 2 2 25 4 2 2 2 9" xfId="3877"/>
    <cellStyle name="Normal 2 2 2 2 25 4 2 2 3" xfId="3878"/>
    <cellStyle name="Normal 2 2 2 2 25 4 2 2 3 2" xfId="3879"/>
    <cellStyle name="Normal 2 2 2 2 25 4 2 2 4" xfId="3880"/>
    <cellStyle name="Normal 2 2 2 2 25 4 2 2 5" xfId="3881"/>
    <cellStyle name="Normal 2 2 2 2 25 4 2 2 6" xfId="3882"/>
    <cellStyle name="Normal 2 2 2 2 25 4 2 2 7" xfId="3883"/>
    <cellStyle name="Normal 2 2 2 2 25 4 2 2 8" xfId="3884"/>
    <cellStyle name="Normal 2 2 2 2 25 4 2 2 9" xfId="3885"/>
    <cellStyle name="Normal 2 2 2 2 25 4 2 3" xfId="3886"/>
    <cellStyle name="Normal 2 2 2 2 25 4 2 3 2" xfId="3887"/>
    <cellStyle name="Normal 2 2 2 2 25 4 2 4" xfId="3888"/>
    <cellStyle name="Normal 2 2 2 2 25 4 2 5" xfId="3889"/>
    <cellStyle name="Normal 2 2 2 2 25 4 2 6" xfId="3890"/>
    <cellStyle name="Normal 2 2 2 2 25 4 2 7" xfId="3891"/>
    <cellStyle name="Normal 2 2 2 2 25 4 2 8" xfId="3892"/>
    <cellStyle name="Normal 2 2 2 2 25 4 2 9" xfId="3893"/>
    <cellStyle name="Normal 2 2 2 2 25 4 3" xfId="3894"/>
    <cellStyle name="Normal 2 2 2 2 25 4 3 10" xfId="3895"/>
    <cellStyle name="Normal 2 2 2 2 25 4 3 11" xfId="3896"/>
    <cellStyle name="Normal 2 2 2 2 25 4 3 2" xfId="3897"/>
    <cellStyle name="Normal 2 2 2 2 25 4 3 2 2" xfId="3898"/>
    <cellStyle name="Normal 2 2 2 2 25 4 3 3" xfId="3899"/>
    <cellStyle name="Normal 2 2 2 2 25 4 3 4" xfId="3900"/>
    <cellStyle name="Normal 2 2 2 2 25 4 3 5" xfId="3901"/>
    <cellStyle name="Normal 2 2 2 2 25 4 3 6" xfId="3902"/>
    <cellStyle name="Normal 2 2 2 2 25 4 3 7" xfId="3903"/>
    <cellStyle name="Normal 2 2 2 2 25 4 3 8" xfId="3904"/>
    <cellStyle name="Normal 2 2 2 2 25 4 3 9" xfId="3905"/>
    <cellStyle name="Normal 2 2 2 2 25 4 4" xfId="3906"/>
    <cellStyle name="Normal 2 2 2 2 25 4 4 2" xfId="3907"/>
    <cellStyle name="Normal 2 2 2 2 25 4 5" xfId="3908"/>
    <cellStyle name="Normal 2 2 2 2 25 4 6" xfId="3909"/>
    <cellStyle name="Normal 2 2 2 2 25 4 7" xfId="3910"/>
    <cellStyle name="Normal 2 2 2 2 25 4 8" xfId="3911"/>
    <cellStyle name="Normal 2 2 2 2 25 4 9" xfId="3912"/>
    <cellStyle name="Normal 2 2 2 2 25 5" xfId="3913"/>
    <cellStyle name="Normal 2 2 2 2 25 5 10" xfId="3914"/>
    <cellStyle name="Normal 2 2 2 2 25 5 11" xfId="3915"/>
    <cellStyle name="Normal 2 2 2 2 25 5 2" xfId="3916"/>
    <cellStyle name="Normal 2 2 2 2 25 5 2 10" xfId="3917"/>
    <cellStyle name="Normal 2 2 2 2 25 5 2 11" xfId="3918"/>
    <cellStyle name="Normal 2 2 2 2 25 5 2 2" xfId="3919"/>
    <cellStyle name="Normal 2 2 2 2 25 5 2 2 2" xfId="3920"/>
    <cellStyle name="Normal 2 2 2 2 25 5 2 3" xfId="3921"/>
    <cellStyle name="Normal 2 2 2 2 25 5 2 4" xfId="3922"/>
    <cellStyle name="Normal 2 2 2 2 25 5 2 5" xfId="3923"/>
    <cellStyle name="Normal 2 2 2 2 25 5 2 6" xfId="3924"/>
    <cellStyle name="Normal 2 2 2 2 25 5 2 7" xfId="3925"/>
    <cellStyle name="Normal 2 2 2 2 25 5 2 8" xfId="3926"/>
    <cellStyle name="Normal 2 2 2 2 25 5 2 9" xfId="3927"/>
    <cellStyle name="Normal 2 2 2 2 25 5 3" xfId="3928"/>
    <cellStyle name="Normal 2 2 2 2 25 5 3 2" xfId="3929"/>
    <cellStyle name="Normal 2 2 2 2 25 5 4" xfId="3930"/>
    <cellStyle name="Normal 2 2 2 2 25 5 5" xfId="3931"/>
    <cellStyle name="Normal 2 2 2 2 25 5 6" xfId="3932"/>
    <cellStyle name="Normal 2 2 2 2 25 5 7" xfId="3933"/>
    <cellStyle name="Normal 2 2 2 2 25 5 8" xfId="3934"/>
    <cellStyle name="Normal 2 2 2 2 25 5 9" xfId="3935"/>
    <cellStyle name="Normal 2 2 2 2 25 6" xfId="3936"/>
    <cellStyle name="Normal 2 2 2 2 25 6 2" xfId="3937"/>
    <cellStyle name="Normal 2 2 2 2 25 7" xfId="3938"/>
    <cellStyle name="Normal 2 2 2 2 25 8" xfId="3939"/>
    <cellStyle name="Normal 2 2 2 2 25 9" xfId="3940"/>
    <cellStyle name="Normal 2 2 2 2 26" xfId="3941"/>
    <cellStyle name="Normal 2 2 2 2 26 10" xfId="3942"/>
    <cellStyle name="Normal 2 2 2 2 26 11" xfId="3943"/>
    <cellStyle name="Normal 2 2 2 2 26 12" xfId="3944"/>
    <cellStyle name="Normal 2 2 2 2 26 13" xfId="3945"/>
    <cellStyle name="Normal 2 2 2 2 26 14" xfId="3946"/>
    <cellStyle name="Normal 2 2 2 2 26 2" xfId="3947"/>
    <cellStyle name="Normal 2 2 2 2 26 2 10" xfId="3948"/>
    <cellStyle name="Normal 2 2 2 2 26 2 11" xfId="3949"/>
    <cellStyle name="Normal 2 2 2 2 26 2 12" xfId="3950"/>
    <cellStyle name="Normal 2 2 2 2 26 2 13" xfId="3951"/>
    <cellStyle name="Normal 2 2 2 2 26 2 2" xfId="3952"/>
    <cellStyle name="Normal 2 2 2 2 26 2 2 10" xfId="3953"/>
    <cellStyle name="Normal 2 2 2 2 26 2 2 11" xfId="3954"/>
    <cellStyle name="Normal 2 2 2 2 26 2 2 12" xfId="3955"/>
    <cellStyle name="Normal 2 2 2 2 26 2 2 13" xfId="3956"/>
    <cellStyle name="Normal 2 2 2 2 26 2 2 2" xfId="3957"/>
    <cellStyle name="Normal 2 2 2 2 26 2 2 2 10" xfId="3958"/>
    <cellStyle name="Normal 2 2 2 2 26 2 2 2 11" xfId="3959"/>
    <cellStyle name="Normal 2 2 2 2 26 2 2 2 12" xfId="3960"/>
    <cellStyle name="Normal 2 2 2 2 26 2 2 2 2" xfId="3961"/>
    <cellStyle name="Normal 2 2 2 2 26 2 2 2 2 10" xfId="3962"/>
    <cellStyle name="Normal 2 2 2 2 26 2 2 2 2 11" xfId="3963"/>
    <cellStyle name="Normal 2 2 2 2 26 2 2 2 2 12" xfId="3964"/>
    <cellStyle name="Normal 2 2 2 2 26 2 2 2 2 2" xfId="3965"/>
    <cellStyle name="Normal 2 2 2 2 26 2 2 2 2 2 10" xfId="3966"/>
    <cellStyle name="Normal 2 2 2 2 26 2 2 2 2 2 11" xfId="3967"/>
    <cellStyle name="Normal 2 2 2 2 26 2 2 2 2 2 2" xfId="3968"/>
    <cellStyle name="Normal 2 2 2 2 26 2 2 2 2 2 2 10" xfId="3969"/>
    <cellStyle name="Normal 2 2 2 2 26 2 2 2 2 2 2 11" xfId="3970"/>
    <cellStyle name="Normal 2 2 2 2 26 2 2 2 2 2 2 2" xfId="3971"/>
    <cellStyle name="Normal 2 2 2 2 26 2 2 2 2 2 2 2 2" xfId="3972"/>
    <cellStyle name="Normal 2 2 2 2 26 2 2 2 2 2 2 3" xfId="3973"/>
    <cellStyle name="Normal 2 2 2 2 26 2 2 2 2 2 2 4" xfId="3974"/>
    <cellStyle name="Normal 2 2 2 2 26 2 2 2 2 2 2 5" xfId="3975"/>
    <cellStyle name="Normal 2 2 2 2 26 2 2 2 2 2 2 6" xfId="3976"/>
    <cellStyle name="Normal 2 2 2 2 26 2 2 2 2 2 2 7" xfId="3977"/>
    <cellStyle name="Normal 2 2 2 2 26 2 2 2 2 2 2 8" xfId="3978"/>
    <cellStyle name="Normal 2 2 2 2 26 2 2 2 2 2 2 9" xfId="3979"/>
    <cellStyle name="Normal 2 2 2 2 26 2 2 2 2 2 3" xfId="3980"/>
    <cellStyle name="Normal 2 2 2 2 26 2 2 2 2 2 3 2" xfId="3981"/>
    <cellStyle name="Normal 2 2 2 2 26 2 2 2 2 2 4" xfId="3982"/>
    <cellStyle name="Normal 2 2 2 2 26 2 2 2 2 2 5" xfId="3983"/>
    <cellStyle name="Normal 2 2 2 2 26 2 2 2 2 2 6" xfId="3984"/>
    <cellStyle name="Normal 2 2 2 2 26 2 2 2 2 2 7" xfId="3985"/>
    <cellStyle name="Normal 2 2 2 2 26 2 2 2 2 2 8" xfId="3986"/>
    <cellStyle name="Normal 2 2 2 2 26 2 2 2 2 2 9" xfId="3987"/>
    <cellStyle name="Normal 2 2 2 2 26 2 2 2 2 3" xfId="3988"/>
    <cellStyle name="Normal 2 2 2 2 26 2 2 2 2 3 2" xfId="3989"/>
    <cellStyle name="Normal 2 2 2 2 26 2 2 2 2 4" xfId="3990"/>
    <cellStyle name="Normal 2 2 2 2 26 2 2 2 2 5" xfId="3991"/>
    <cellStyle name="Normal 2 2 2 2 26 2 2 2 2 6" xfId="3992"/>
    <cellStyle name="Normal 2 2 2 2 26 2 2 2 2 7" xfId="3993"/>
    <cellStyle name="Normal 2 2 2 2 26 2 2 2 2 8" xfId="3994"/>
    <cellStyle name="Normal 2 2 2 2 26 2 2 2 2 9" xfId="3995"/>
    <cellStyle name="Normal 2 2 2 2 26 2 2 2 3" xfId="3996"/>
    <cellStyle name="Normal 2 2 2 2 26 2 2 2 3 10" xfId="3997"/>
    <cellStyle name="Normal 2 2 2 2 26 2 2 2 3 11" xfId="3998"/>
    <cellStyle name="Normal 2 2 2 2 26 2 2 2 3 2" xfId="3999"/>
    <cellStyle name="Normal 2 2 2 2 26 2 2 2 3 2 2" xfId="4000"/>
    <cellStyle name="Normal 2 2 2 2 26 2 2 2 3 3" xfId="4001"/>
    <cellStyle name="Normal 2 2 2 2 26 2 2 2 3 4" xfId="4002"/>
    <cellStyle name="Normal 2 2 2 2 26 2 2 2 3 5" xfId="4003"/>
    <cellStyle name="Normal 2 2 2 2 26 2 2 2 3 6" xfId="4004"/>
    <cellStyle name="Normal 2 2 2 2 26 2 2 2 3 7" xfId="4005"/>
    <cellStyle name="Normal 2 2 2 2 26 2 2 2 3 8" xfId="4006"/>
    <cellStyle name="Normal 2 2 2 2 26 2 2 2 3 9" xfId="4007"/>
    <cellStyle name="Normal 2 2 2 2 26 2 2 2 4" xfId="4008"/>
    <cellStyle name="Normal 2 2 2 2 26 2 2 2 4 2" xfId="4009"/>
    <cellStyle name="Normal 2 2 2 2 26 2 2 2 5" xfId="4010"/>
    <cellStyle name="Normal 2 2 2 2 26 2 2 2 6" xfId="4011"/>
    <cellStyle name="Normal 2 2 2 2 26 2 2 2 7" xfId="4012"/>
    <cellStyle name="Normal 2 2 2 2 26 2 2 2 8" xfId="4013"/>
    <cellStyle name="Normal 2 2 2 2 26 2 2 2 9" xfId="4014"/>
    <cellStyle name="Normal 2 2 2 2 26 2 2 3" xfId="4015"/>
    <cellStyle name="Normal 2 2 2 2 26 2 2 3 10" xfId="4016"/>
    <cellStyle name="Normal 2 2 2 2 26 2 2 3 11" xfId="4017"/>
    <cellStyle name="Normal 2 2 2 2 26 2 2 3 2" xfId="4018"/>
    <cellStyle name="Normal 2 2 2 2 26 2 2 3 2 10" xfId="4019"/>
    <cellStyle name="Normal 2 2 2 2 26 2 2 3 2 11" xfId="4020"/>
    <cellStyle name="Normal 2 2 2 2 26 2 2 3 2 2" xfId="4021"/>
    <cellStyle name="Normal 2 2 2 2 26 2 2 3 2 2 2" xfId="4022"/>
    <cellStyle name="Normal 2 2 2 2 26 2 2 3 2 3" xfId="4023"/>
    <cellStyle name="Normal 2 2 2 2 26 2 2 3 2 4" xfId="4024"/>
    <cellStyle name="Normal 2 2 2 2 26 2 2 3 2 5" xfId="4025"/>
    <cellStyle name="Normal 2 2 2 2 26 2 2 3 2 6" xfId="4026"/>
    <cellStyle name="Normal 2 2 2 2 26 2 2 3 2 7" xfId="4027"/>
    <cellStyle name="Normal 2 2 2 2 26 2 2 3 2 8" xfId="4028"/>
    <cellStyle name="Normal 2 2 2 2 26 2 2 3 2 9" xfId="4029"/>
    <cellStyle name="Normal 2 2 2 2 26 2 2 3 3" xfId="4030"/>
    <cellStyle name="Normal 2 2 2 2 26 2 2 3 3 2" xfId="4031"/>
    <cellStyle name="Normal 2 2 2 2 26 2 2 3 4" xfId="4032"/>
    <cellStyle name="Normal 2 2 2 2 26 2 2 3 5" xfId="4033"/>
    <cellStyle name="Normal 2 2 2 2 26 2 2 3 6" xfId="4034"/>
    <cellStyle name="Normal 2 2 2 2 26 2 2 3 7" xfId="4035"/>
    <cellStyle name="Normal 2 2 2 2 26 2 2 3 8" xfId="4036"/>
    <cellStyle name="Normal 2 2 2 2 26 2 2 3 9" xfId="4037"/>
    <cellStyle name="Normal 2 2 2 2 26 2 2 4" xfId="4038"/>
    <cellStyle name="Normal 2 2 2 2 26 2 2 4 2" xfId="4039"/>
    <cellStyle name="Normal 2 2 2 2 26 2 2 5" xfId="4040"/>
    <cellStyle name="Normal 2 2 2 2 26 2 2 6" xfId="4041"/>
    <cellStyle name="Normal 2 2 2 2 26 2 2 7" xfId="4042"/>
    <cellStyle name="Normal 2 2 2 2 26 2 2 8" xfId="4043"/>
    <cellStyle name="Normal 2 2 2 2 26 2 2 9" xfId="4044"/>
    <cellStyle name="Normal 2 2 2 2 26 2 3" xfId="4045"/>
    <cellStyle name="Normal 2 2 2 2 26 2 3 10" xfId="4046"/>
    <cellStyle name="Normal 2 2 2 2 26 2 3 11" xfId="4047"/>
    <cellStyle name="Normal 2 2 2 2 26 2 3 12" xfId="4048"/>
    <cellStyle name="Normal 2 2 2 2 26 2 3 2" xfId="4049"/>
    <cellStyle name="Normal 2 2 2 2 26 2 3 2 10" xfId="4050"/>
    <cellStyle name="Normal 2 2 2 2 26 2 3 2 11" xfId="4051"/>
    <cellStyle name="Normal 2 2 2 2 26 2 3 2 2" xfId="4052"/>
    <cellStyle name="Normal 2 2 2 2 26 2 3 2 2 10" xfId="4053"/>
    <cellStyle name="Normal 2 2 2 2 26 2 3 2 2 11" xfId="4054"/>
    <cellStyle name="Normal 2 2 2 2 26 2 3 2 2 2" xfId="4055"/>
    <cellStyle name="Normal 2 2 2 2 26 2 3 2 2 2 2" xfId="4056"/>
    <cellStyle name="Normal 2 2 2 2 26 2 3 2 2 3" xfId="4057"/>
    <cellStyle name="Normal 2 2 2 2 26 2 3 2 2 4" xfId="4058"/>
    <cellStyle name="Normal 2 2 2 2 26 2 3 2 2 5" xfId="4059"/>
    <cellStyle name="Normal 2 2 2 2 26 2 3 2 2 6" xfId="4060"/>
    <cellStyle name="Normal 2 2 2 2 26 2 3 2 2 7" xfId="4061"/>
    <cellStyle name="Normal 2 2 2 2 26 2 3 2 2 8" xfId="4062"/>
    <cellStyle name="Normal 2 2 2 2 26 2 3 2 2 9" xfId="4063"/>
    <cellStyle name="Normal 2 2 2 2 26 2 3 2 3" xfId="4064"/>
    <cellStyle name="Normal 2 2 2 2 26 2 3 2 3 2" xfId="4065"/>
    <cellStyle name="Normal 2 2 2 2 26 2 3 2 4" xfId="4066"/>
    <cellStyle name="Normal 2 2 2 2 26 2 3 2 5" xfId="4067"/>
    <cellStyle name="Normal 2 2 2 2 26 2 3 2 6" xfId="4068"/>
    <cellStyle name="Normal 2 2 2 2 26 2 3 2 7" xfId="4069"/>
    <cellStyle name="Normal 2 2 2 2 26 2 3 2 8" xfId="4070"/>
    <cellStyle name="Normal 2 2 2 2 26 2 3 2 9" xfId="4071"/>
    <cellStyle name="Normal 2 2 2 2 26 2 3 3" xfId="4072"/>
    <cellStyle name="Normal 2 2 2 2 26 2 3 3 2" xfId="4073"/>
    <cellStyle name="Normal 2 2 2 2 26 2 3 4" xfId="4074"/>
    <cellStyle name="Normal 2 2 2 2 26 2 3 5" xfId="4075"/>
    <cellStyle name="Normal 2 2 2 2 26 2 3 6" xfId="4076"/>
    <cellStyle name="Normal 2 2 2 2 26 2 3 7" xfId="4077"/>
    <cellStyle name="Normal 2 2 2 2 26 2 3 8" xfId="4078"/>
    <cellStyle name="Normal 2 2 2 2 26 2 3 9" xfId="4079"/>
    <cellStyle name="Normal 2 2 2 2 26 2 4" xfId="4080"/>
    <cellStyle name="Normal 2 2 2 2 26 2 4 10" xfId="4081"/>
    <cellStyle name="Normal 2 2 2 2 26 2 4 11" xfId="4082"/>
    <cellStyle name="Normal 2 2 2 2 26 2 4 2" xfId="4083"/>
    <cellStyle name="Normal 2 2 2 2 26 2 4 2 2" xfId="4084"/>
    <cellStyle name="Normal 2 2 2 2 26 2 4 3" xfId="4085"/>
    <cellStyle name="Normal 2 2 2 2 26 2 4 4" xfId="4086"/>
    <cellStyle name="Normal 2 2 2 2 26 2 4 5" xfId="4087"/>
    <cellStyle name="Normal 2 2 2 2 26 2 4 6" xfId="4088"/>
    <cellStyle name="Normal 2 2 2 2 26 2 4 7" xfId="4089"/>
    <cellStyle name="Normal 2 2 2 2 26 2 4 8" xfId="4090"/>
    <cellStyle name="Normal 2 2 2 2 26 2 4 9" xfId="4091"/>
    <cellStyle name="Normal 2 2 2 2 26 2 5" xfId="4092"/>
    <cellStyle name="Normal 2 2 2 2 26 2 5 2" xfId="4093"/>
    <cellStyle name="Normal 2 2 2 2 26 2 6" xfId="4094"/>
    <cellStyle name="Normal 2 2 2 2 26 2 7" xfId="4095"/>
    <cellStyle name="Normal 2 2 2 2 26 2 8" xfId="4096"/>
    <cellStyle name="Normal 2 2 2 2 26 2 9" xfId="4097"/>
    <cellStyle name="Normal 2 2 2 2 26 3" xfId="4098"/>
    <cellStyle name="Normal 2 2 2 2 26 3 10" xfId="4099"/>
    <cellStyle name="Normal 2 2 2 2 26 3 11" xfId="4100"/>
    <cellStyle name="Normal 2 2 2 2 26 3 12" xfId="4101"/>
    <cellStyle name="Normal 2 2 2 2 26 3 2" xfId="4102"/>
    <cellStyle name="Normal 2 2 2 2 26 3 2 10" xfId="4103"/>
    <cellStyle name="Normal 2 2 2 2 26 3 2 11" xfId="4104"/>
    <cellStyle name="Normal 2 2 2 2 26 3 2 12" xfId="4105"/>
    <cellStyle name="Normal 2 2 2 2 26 3 2 2" xfId="4106"/>
    <cellStyle name="Normal 2 2 2 2 26 3 2 2 10" xfId="4107"/>
    <cellStyle name="Normal 2 2 2 2 26 3 2 2 11" xfId="4108"/>
    <cellStyle name="Normal 2 2 2 2 26 3 2 2 2" xfId="4109"/>
    <cellStyle name="Normal 2 2 2 2 26 3 2 2 2 10" xfId="4110"/>
    <cellStyle name="Normal 2 2 2 2 26 3 2 2 2 11" xfId="4111"/>
    <cellStyle name="Normal 2 2 2 2 26 3 2 2 2 2" xfId="4112"/>
    <cellStyle name="Normal 2 2 2 2 26 3 2 2 2 2 2" xfId="4113"/>
    <cellStyle name="Normal 2 2 2 2 26 3 2 2 2 3" xfId="4114"/>
    <cellStyle name="Normal 2 2 2 2 26 3 2 2 2 4" xfId="4115"/>
    <cellStyle name="Normal 2 2 2 2 26 3 2 2 2 5" xfId="4116"/>
    <cellStyle name="Normal 2 2 2 2 26 3 2 2 2 6" xfId="4117"/>
    <cellStyle name="Normal 2 2 2 2 26 3 2 2 2 7" xfId="4118"/>
    <cellStyle name="Normal 2 2 2 2 26 3 2 2 2 8" xfId="4119"/>
    <cellStyle name="Normal 2 2 2 2 26 3 2 2 2 9" xfId="4120"/>
    <cellStyle name="Normal 2 2 2 2 26 3 2 2 3" xfId="4121"/>
    <cellStyle name="Normal 2 2 2 2 26 3 2 2 3 2" xfId="4122"/>
    <cellStyle name="Normal 2 2 2 2 26 3 2 2 4" xfId="4123"/>
    <cellStyle name="Normal 2 2 2 2 26 3 2 2 5" xfId="4124"/>
    <cellStyle name="Normal 2 2 2 2 26 3 2 2 6" xfId="4125"/>
    <cellStyle name="Normal 2 2 2 2 26 3 2 2 7" xfId="4126"/>
    <cellStyle name="Normal 2 2 2 2 26 3 2 2 8" xfId="4127"/>
    <cellStyle name="Normal 2 2 2 2 26 3 2 2 9" xfId="4128"/>
    <cellStyle name="Normal 2 2 2 2 26 3 2 3" xfId="4129"/>
    <cellStyle name="Normal 2 2 2 2 26 3 2 3 2" xfId="4130"/>
    <cellStyle name="Normal 2 2 2 2 26 3 2 4" xfId="4131"/>
    <cellStyle name="Normal 2 2 2 2 26 3 2 5" xfId="4132"/>
    <cellStyle name="Normal 2 2 2 2 26 3 2 6" xfId="4133"/>
    <cellStyle name="Normal 2 2 2 2 26 3 2 7" xfId="4134"/>
    <cellStyle name="Normal 2 2 2 2 26 3 2 8" xfId="4135"/>
    <cellStyle name="Normal 2 2 2 2 26 3 2 9" xfId="4136"/>
    <cellStyle name="Normal 2 2 2 2 26 3 3" xfId="4137"/>
    <cellStyle name="Normal 2 2 2 2 26 3 3 10" xfId="4138"/>
    <cellStyle name="Normal 2 2 2 2 26 3 3 11" xfId="4139"/>
    <cellStyle name="Normal 2 2 2 2 26 3 3 2" xfId="4140"/>
    <cellStyle name="Normal 2 2 2 2 26 3 3 2 2" xfId="4141"/>
    <cellStyle name="Normal 2 2 2 2 26 3 3 3" xfId="4142"/>
    <cellStyle name="Normal 2 2 2 2 26 3 3 4" xfId="4143"/>
    <cellStyle name="Normal 2 2 2 2 26 3 3 5" xfId="4144"/>
    <cellStyle name="Normal 2 2 2 2 26 3 3 6" xfId="4145"/>
    <cellStyle name="Normal 2 2 2 2 26 3 3 7" xfId="4146"/>
    <cellStyle name="Normal 2 2 2 2 26 3 3 8" xfId="4147"/>
    <cellStyle name="Normal 2 2 2 2 26 3 3 9" xfId="4148"/>
    <cellStyle name="Normal 2 2 2 2 26 3 4" xfId="4149"/>
    <cellStyle name="Normal 2 2 2 2 26 3 4 2" xfId="4150"/>
    <cellStyle name="Normal 2 2 2 2 26 3 5" xfId="4151"/>
    <cellStyle name="Normal 2 2 2 2 26 3 6" xfId="4152"/>
    <cellStyle name="Normal 2 2 2 2 26 3 7" xfId="4153"/>
    <cellStyle name="Normal 2 2 2 2 26 3 8" xfId="4154"/>
    <cellStyle name="Normal 2 2 2 2 26 3 9" xfId="4155"/>
    <cellStyle name="Normal 2 2 2 2 26 4" xfId="4156"/>
    <cellStyle name="Normal 2 2 2 2 26 4 10" xfId="4157"/>
    <cellStyle name="Normal 2 2 2 2 26 4 11" xfId="4158"/>
    <cellStyle name="Normal 2 2 2 2 26 4 2" xfId="4159"/>
    <cellStyle name="Normal 2 2 2 2 26 4 2 10" xfId="4160"/>
    <cellStyle name="Normal 2 2 2 2 26 4 2 11" xfId="4161"/>
    <cellStyle name="Normal 2 2 2 2 26 4 2 2" xfId="4162"/>
    <cellStyle name="Normal 2 2 2 2 26 4 2 2 2" xfId="4163"/>
    <cellStyle name="Normal 2 2 2 2 26 4 2 3" xfId="4164"/>
    <cellStyle name="Normal 2 2 2 2 26 4 2 4" xfId="4165"/>
    <cellStyle name="Normal 2 2 2 2 26 4 2 5" xfId="4166"/>
    <cellStyle name="Normal 2 2 2 2 26 4 2 6" xfId="4167"/>
    <cellStyle name="Normal 2 2 2 2 26 4 2 7" xfId="4168"/>
    <cellStyle name="Normal 2 2 2 2 26 4 2 8" xfId="4169"/>
    <cellStyle name="Normal 2 2 2 2 26 4 2 9" xfId="4170"/>
    <cellStyle name="Normal 2 2 2 2 26 4 3" xfId="4171"/>
    <cellStyle name="Normal 2 2 2 2 26 4 3 2" xfId="4172"/>
    <cellStyle name="Normal 2 2 2 2 26 4 4" xfId="4173"/>
    <cellStyle name="Normal 2 2 2 2 26 4 5" xfId="4174"/>
    <cellStyle name="Normal 2 2 2 2 26 4 6" xfId="4175"/>
    <cellStyle name="Normal 2 2 2 2 26 4 7" xfId="4176"/>
    <cellStyle name="Normal 2 2 2 2 26 4 8" xfId="4177"/>
    <cellStyle name="Normal 2 2 2 2 26 4 9" xfId="4178"/>
    <cellStyle name="Normal 2 2 2 2 26 5" xfId="4179"/>
    <cellStyle name="Normal 2 2 2 2 26 5 2" xfId="4180"/>
    <cellStyle name="Normal 2 2 2 2 26 6" xfId="4181"/>
    <cellStyle name="Normal 2 2 2 2 26 7" xfId="4182"/>
    <cellStyle name="Normal 2 2 2 2 26 8" xfId="4183"/>
    <cellStyle name="Normal 2 2 2 2 26 9" xfId="4184"/>
    <cellStyle name="Normal 2 2 2 2 27" xfId="4185"/>
    <cellStyle name="Normal 2 2 2 2 27 10" xfId="4186"/>
    <cellStyle name="Normal 2 2 2 2 27 11" xfId="4187"/>
    <cellStyle name="Normal 2 2 2 2 27 12" xfId="4188"/>
    <cellStyle name="Normal 2 2 2 2 27 13" xfId="4189"/>
    <cellStyle name="Normal 2 2 2 2 27 2" xfId="4190"/>
    <cellStyle name="Normal 2 2 2 2 27 2 10" xfId="4191"/>
    <cellStyle name="Normal 2 2 2 2 27 2 11" xfId="4192"/>
    <cellStyle name="Normal 2 2 2 2 27 2 12" xfId="4193"/>
    <cellStyle name="Normal 2 2 2 2 27 2 2" xfId="4194"/>
    <cellStyle name="Normal 2 2 2 2 27 2 2 10" xfId="4195"/>
    <cellStyle name="Normal 2 2 2 2 27 2 2 11" xfId="4196"/>
    <cellStyle name="Normal 2 2 2 2 27 2 2 12" xfId="4197"/>
    <cellStyle name="Normal 2 2 2 2 27 2 2 2" xfId="4198"/>
    <cellStyle name="Normal 2 2 2 2 27 2 2 2 10" xfId="4199"/>
    <cellStyle name="Normal 2 2 2 2 27 2 2 2 11" xfId="4200"/>
    <cellStyle name="Normal 2 2 2 2 27 2 2 2 2" xfId="4201"/>
    <cellStyle name="Normal 2 2 2 2 27 2 2 2 2 10" xfId="4202"/>
    <cellStyle name="Normal 2 2 2 2 27 2 2 2 2 11" xfId="4203"/>
    <cellStyle name="Normal 2 2 2 2 27 2 2 2 2 2" xfId="4204"/>
    <cellStyle name="Normal 2 2 2 2 27 2 2 2 2 2 2" xfId="4205"/>
    <cellStyle name="Normal 2 2 2 2 27 2 2 2 2 3" xfId="4206"/>
    <cellStyle name="Normal 2 2 2 2 27 2 2 2 2 4" xfId="4207"/>
    <cellStyle name="Normal 2 2 2 2 27 2 2 2 2 5" xfId="4208"/>
    <cellStyle name="Normal 2 2 2 2 27 2 2 2 2 6" xfId="4209"/>
    <cellStyle name="Normal 2 2 2 2 27 2 2 2 2 7" xfId="4210"/>
    <cellStyle name="Normal 2 2 2 2 27 2 2 2 2 8" xfId="4211"/>
    <cellStyle name="Normal 2 2 2 2 27 2 2 2 2 9" xfId="4212"/>
    <cellStyle name="Normal 2 2 2 2 27 2 2 2 3" xfId="4213"/>
    <cellStyle name="Normal 2 2 2 2 27 2 2 2 3 2" xfId="4214"/>
    <cellStyle name="Normal 2 2 2 2 27 2 2 2 4" xfId="4215"/>
    <cellStyle name="Normal 2 2 2 2 27 2 2 2 5" xfId="4216"/>
    <cellStyle name="Normal 2 2 2 2 27 2 2 2 6" xfId="4217"/>
    <cellStyle name="Normal 2 2 2 2 27 2 2 2 7" xfId="4218"/>
    <cellStyle name="Normal 2 2 2 2 27 2 2 2 8" xfId="4219"/>
    <cellStyle name="Normal 2 2 2 2 27 2 2 2 9" xfId="4220"/>
    <cellStyle name="Normal 2 2 2 2 27 2 2 3" xfId="4221"/>
    <cellStyle name="Normal 2 2 2 2 27 2 2 3 2" xfId="4222"/>
    <cellStyle name="Normal 2 2 2 2 27 2 2 4" xfId="4223"/>
    <cellStyle name="Normal 2 2 2 2 27 2 2 5" xfId="4224"/>
    <cellStyle name="Normal 2 2 2 2 27 2 2 6" xfId="4225"/>
    <cellStyle name="Normal 2 2 2 2 27 2 2 7" xfId="4226"/>
    <cellStyle name="Normal 2 2 2 2 27 2 2 8" xfId="4227"/>
    <cellStyle name="Normal 2 2 2 2 27 2 2 9" xfId="4228"/>
    <cellStyle name="Normal 2 2 2 2 27 2 3" xfId="4229"/>
    <cellStyle name="Normal 2 2 2 2 27 2 3 10" xfId="4230"/>
    <cellStyle name="Normal 2 2 2 2 27 2 3 11" xfId="4231"/>
    <cellStyle name="Normal 2 2 2 2 27 2 3 2" xfId="4232"/>
    <cellStyle name="Normal 2 2 2 2 27 2 3 2 2" xfId="4233"/>
    <cellStyle name="Normal 2 2 2 2 27 2 3 3" xfId="4234"/>
    <cellStyle name="Normal 2 2 2 2 27 2 3 4" xfId="4235"/>
    <cellStyle name="Normal 2 2 2 2 27 2 3 5" xfId="4236"/>
    <cellStyle name="Normal 2 2 2 2 27 2 3 6" xfId="4237"/>
    <cellStyle name="Normal 2 2 2 2 27 2 3 7" xfId="4238"/>
    <cellStyle name="Normal 2 2 2 2 27 2 3 8" xfId="4239"/>
    <cellStyle name="Normal 2 2 2 2 27 2 3 9" xfId="4240"/>
    <cellStyle name="Normal 2 2 2 2 27 2 4" xfId="4241"/>
    <cellStyle name="Normal 2 2 2 2 27 2 4 2" xfId="4242"/>
    <cellStyle name="Normal 2 2 2 2 27 2 5" xfId="4243"/>
    <cellStyle name="Normal 2 2 2 2 27 2 6" xfId="4244"/>
    <cellStyle name="Normal 2 2 2 2 27 2 7" xfId="4245"/>
    <cellStyle name="Normal 2 2 2 2 27 2 8" xfId="4246"/>
    <cellStyle name="Normal 2 2 2 2 27 2 9" xfId="4247"/>
    <cellStyle name="Normal 2 2 2 2 27 3" xfId="4248"/>
    <cellStyle name="Normal 2 2 2 2 27 3 10" xfId="4249"/>
    <cellStyle name="Normal 2 2 2 2 27 3 11" xfId="4250"/>
    <cellStyle name="Normal 2 2 2 2 27 3 2" xfId="4251"/>
    <cellStyle name="Normal 2 2 2 2 27 3 2 10" xfId="4252"/>
    <cellStyle name="Normal 2 2 2 2 27 3 2 11" xfId="4253"/>
    <cellStyle name="Normal 2 2 2 2 27 3 2 2" xfId="4254"/>
    <cellStyle name="Normal 2 2 2 2 27 3 2 2 2" xfId="4255"/>
    <cellStyle name="Normal 2 2 2 2 27 3 2 3" xfId="4256"/>
    <cellStyle name="Normal 2 2 2 2 27 3 2 4" xfId="4257"/>
    <cellStyle name="Normal 2 2 2 2 27 3 2 5" xfId="4258"/>
    <cellStyle name="Normal 2 2 2 2 27 3 2 6" xfId="4259"/>
    <cellStyle name="Normal 2 2 2 2 27 3 2 7" xfId="4260"/>
    <cellStyle name="Normal 2 2 2 2 27 3 2 8" xfId="4261"/>
    <cellStyle name="Normal 2 2 2 2 27 3 2 9" xfId="4262"/>
    <cellStyle name="Normal 2 2 2 2 27 3 3" xfId="4263"/>
    <cellStyle name="Normal 2 2 2 2 27 3 3 2" xfId="4264"/>
    <cellStyle name="Normal 2 2 2 2 27 3 4" xfId="4265"/>
    <cellStyle name="Normal 2 2 2 2 27 3 5" xfId="4266"/>
    <cellStyle name="Normal 2 2 2 2 27 3 6" xfId="4267"/>
    <cellStyle name="Normal 2 2 2 2 27 3 7" xfId="4268"/>
    <cellStyle name="Normal 2 2 2 2 27 3 8" xfId="4269"/>
    <cellStyle name="Normal 2 2 2 2 27 3 9" xfId="4270"/>
    <cellStyle name="Normal 2 2 2 2 27 4" xfId="4271"/>
    <cellStyle name="Normal 2 2 2 2 27 4 2" xfId="4272"/>
    <cellStyle name="Normal 2 2 2 2 27 5" xfId="4273"/>
    <cellStyle name="Normal 2 2 2 2 27 6" xfId="4274"/>
    <cellStyle name="Normal 2 2 2 2 27 7" xfId="4275"/>
    <cellStyle name="Normal 2 2 2 2 27 8" xfId="4276"/>
    <cellStyle name="Normal 2 2 2 2 27 9" xfId="4277"/>
    <cellStyle name="Normal 2 2 2 2 28" xfId="4278"/>
    <cellStyle name="Normal 2 2 2 2 28 10" xfId="4279"/>
    <cellStyle name="Normal 2 2 2 2 28 11" xfId="4280"/>
    <cellStyle name="Normal 2 2 2 2 28 12" xfId="4281"/>
    <cellStyle name="Normal 2 2 2 2 28 2" xfId="4282"/>
    <cellStyle name="Normal 2 2 2 2 28 2 10" xfId="4283"/>
    <cellStyle name="Normal 2 2 2 2 28 2 11" xfId="4284"/>
    <cellStyle name="Normal 2 2 2 2 28 2 2" xfId="4285"/>
    <cellStyle name="Normal 2 2 2 2 28 2 2 10" xfId="4286"/>
    <cellStyle name="Normal 2 2 2 2 28 2 2 11" xfId="4287"/>
    <cellStyle name="Normal 2 2 2 2 28 2 2 2" xfId="4288"/>
    <cellStyle name="Normal 2 2 2 2 28 2 2 2 2" xfId="4289"/>
    <cellStyle name="Normal 2 2 2 2 28 2 2 3" xfId="4290"/>
    <cellStyle name="Normal 2 2 2 2 28 2 2 4" xfId="4291"/>
    <cellStyle name="Normal 2 2 2 2 28 2 2 5" xfId="4292"/>
    <cellStyle name="Normal 2 2 2 2 28 2 2 6" xfId="4293"/>
    <cellStyle name="Normal 2 2 2 2 28 2 2 7" xfId="4294"/>
    <cellStyle name="Normal 2 2 2 2 28 2 2 8" xfId="4295"/>
    <cellStyle name="Normal 2 2 2 2 28 2 2 9" xfId="4296"/>
    <cellStyle name="Normal 2 2 2 2 28 2 3" xfId="4297"/>
    <cellStyle name="Normal 2 2 2 2 28 2 3 2" xfId="4298"/>
    <cellStyle name="Normal 2 2 2 2 28 2 4" xfId="4299"/>
    <cellStyle name="Normal 2 2 2 2 28 2 5" xfId="4300"/>
    <cellStyle name="Normal 2 2 2 2 28 2 6" xfId="4301"/>
    <cellStyle name="Normal 2 2 2 2 28 2 7" xfId="4302"/>
    <cellStyle name="Normal 2 2 2 2 28 2 8" xfId="4303"/>
    <cellStyle name="Normal 2 2 2 2 28 2 9" xfId="4304"/>
    <cellStyle name="Normal 2 2 2 2 28 3" xfId="4305"/>
    <cellStyle name="Normal 2 2 2 2 28 3 2" xfId="4306"/>
    <cellStyle name="Normal 2 2 2 2 28 4" xfId="4307"/>
    <cellStyle name="Normal 2 2 2 2 28 5" xfId="4308"/>
    <cellStyle name="Normal 2 2 2 2 28 6" xfId="4309"/>
    <cellStyle name="Normal 2 2 2 2 28 7" xfId="4310"/>
    <cellStyle name="Normal 2 2 2 2 28 8" xfId="4311"/>
    <cellStyle name="Normal 2 2 2 2 28 9" xfId="4312"/>
    <cellStyle name="Normal 2 2 2 2 29" xfId="4313"/>
    <cellStyle name="Normal 2 2 2 2 29 10" xfId="4314"/>
    <cellStyle name="Normal 2 2 2 2 29 11" xfId="4315"/>
    <cellStyle name="Normal 2 2 2 2 29 2" xfId="4316"/>
    <cellStyle name="Normal 2 2 2 2 29 2 2" xfId="4317"/>
    <cellStyle name="Normal 2 2 2 2 29 3" xfId="4318"/>
    <cellStyle name="Normal 2 2 2 2 29 4" xfId="4319"/>
    <cellStyle name="Normal 2 2 2 2 29 5" xfId="4320"/>
    <cellStyle name="Normal 2 2 2 2 29 6" xfId="4321"/>
    <cellStyle name="Normal 2 2 2 2 29 7" xfId="4322"/>
    <cellStyle name="Normal 2 2 2 2 29 8" xfId="4323"/>
    <cellStyle name="Normal 2 2 2 2 29 9" xfId="4324"/>
    <cellStyle name="Normal 2 2 2 2 3" xfId="4325"/>
    <cellStyle name="Normal 2 2 2 2 30" xfId="4326"/>
    <cellStyle name="Normal 2 2 2 2 30 2" xfId="4327"/>
    <cellStyle name="Normal 2 2 2 2 31" xfId="4328"/>
    <cellStyle name="Normal 2 2 2 2 32" xfId="4329"/>
    <cellStyle name="Normal 2 2 2 2 33" xfId="4330"/>
    <cellStyle name="Normal 2 2 2 2 34" xfId="4331"/>
    <cellStyle name="Normal 2 2 2 2 35" xfId="4332"/>
    <cellStyle name="Normal 2 2 2 2 36" xfId="4333"/>
    <cellStyle name="Normal 2 2 2 2 37" xfId="4334"/>
    <cellStyle name="Normal 2 2 2 2 38" xfId="4335"/>
    <cellStyle name="Normal 2 2 2 2 39" xfId="4336"/>
    <cellStyle name="Normal 2 2 2 2 39 2" xfId="4337"/>
    <cellStyle name="Normal 2 2 2 2 4" xfId="4338"/>
    <cellStyle name="Normal 2 2 2 2 40" xfId="4339"/>
    <cellStyle name="Normal 2 2 2 2 41" xfId="4340"/>
    <cellStyle name="Normal 2 2 2 2 42" xfId="4341"/>
    <cellStyle name="Normal 2 2 2 2 43" xfId="4342"/>
    <cellStyle name="Normal 2 2 2 2 43 2" xfId="4343"/>
    <cellStyle name="Normal 2 2 2 2 44" xfId="4344"/>
    <cellStyle name="Normal 2 2 2 2 45" xfId="4345"/>
    <cellStyle name="Normal 2 2 2 2 46" xfId="4346"/>
    <cellStyle name="Normal 2 2 2 2 5" xfId="4347"/>
    <cellStyle name="Normal 2 2 2 2 6" xfId="4348"/>
    <cellStyle name="Normal 2 2 2 2 6 2" xfId="4349"/>
    <cellStyle name="Normal 2 2 2 2 6 2 2" xfId="4350"/>
    <cellStyle name="Normal 2 2 2 2 7" xfId="4351"/>
    <cellStyle name="Normal 2 2 2 2 7 2" xfId="4352"/>
    <cellStyle name="Normal 2 2 2 2 8" xfId="4353"/>
    <cellStyle name="Normal 2 2 2 2 9" xfId="4354"/>
    <cellStyle name="Normal 2 2 2 20" xfId="4355"/>
    <cellStyle name="Normal 2 2 2 21" xfId="4356"/>
    <cellStyle name="Normal 2 2 2 22" xfId="4357"/>
    <cellStyle name="Normal 2 2 2 23" xfId="4358"/>
    <cellStyle name="Normal 2 2 2 24" xfId="4359"/>
    <cellStyle name="Normal 2 2 2 25" xfId="4360"/>
    <cellStyle name="Normal 2 2 2 25 10" xfId="4361"/>
    <cellStyle name="Normal 2 2 2 25 11" xfId="4362"/>
    <cellStyle name="Normal 2 2 2 25 12" xfId="4363"/>
    <cellStyle name="Normal 2 2 2 25 13" xfId="4364"/>
    <cellStyle name="Normal 2 2 2 25 14" xfId="4365"/>
    <cellStyle name="Normal 2 2 2 25 15" xfId="4366"/>
    <cellStyle name="Normal 2 2 2 25 2" xfId="4367"/>
    <cellStyle name="Normal 2 2 2 25 2 10" xfId="4368"/>
    <cellStyle name="Normal 2 2 2 25 2 11" xfId="4369"/>
    <cellStyle name="Normal 2 2 2 25 2 12" xfId="4370"/>
    <cellStyle name="Normal 2 2 2 25 2 13" xfId="4371"/>
    <cellStyle name="Normal 2 2 2 25 2 14" xfId="4372"/>
    <cellStyle name="Normal 2 2 2 25 2 2" xfId="4373"/>
    <cellStyle name="Normal 2 2 2 25 2 2 10" xfId="4374"/>
    <cellStyle name="Normal 2 2 2 25 2 2 11" xfId="4375"/>
    <cellStyle name="Normal 2 2 2 25 2 2 12" xfId="4376"/>
    <cellStyle name="Normal 2 2 2 25 2 2 13" xfId="4377"/>
    <cellStyle name="Normal 2 2 2 25 2 2 14" xfId="4378"/>
    <cellStyle name="Normal 2 2 2 25 2 2 2" xfId="4379"/>
    <cellStyle name="Normal 2 2 2 25 2 2 2 10" xfId="4380"/>
    <cellStyle name="Normal 2 2 2 25 2 2 2 11" xfId="4381"/>
    <cellStyle name="Normal 2 2 2 25 2 2 2 12" xfId="4382"/>
    <cellStyle name="Normal 2 2 2 25 2 2 2 13" xfId="4383"/>
    <cellStyle name="Normal 2 2 2 25 2 2 2 2" xfId="4384"/>
    <cellStyle name="Normal 2 2 2 25 2 2 2 2 10" xfId="4385"/>
    <cellStyle name="Normal 2 2 2 25 2 2 2 2 11" xfId="4386"/>
    <cellStyle name="Normal 2 2 2 25 2 2 2 2 12" xfId="4387"/>
    <cellStyle name="Normal 2 2 2 25 2 2 2 2 13" xfId="4388"/>
    <cellStyle name="Normal 2 2 2 25 2 2 2 2 2" xfId="4389"/>
    <cellStyle name="Normal 2 2 2 25 2 2 2 2 2 10" xfId="4390"/>
    <cellStyle name="Normal 2 2 2 25 2 2 2 2 2 11" xfId="4391"/>
    <cellStyle name="Normal 2 2 2 25 2 2 2 2 2 12" xfId="4392"/>
    <cellStyle name="Normal 2 2 2 25 2 2 2 2 2 2" xfId="4393"/>
    <cellStyle name="Normal 2 2 2 25 2 2 2 2 2 2 10" xfId="4394"/>
    <cellStyle name="Normal 2 2 2 25 2 2 2 2 2 2 11" xfId="4395"/>
    <cellStyle name="Normal 2 2 2 25 2 2 2 2 2 2 12" xfId="4396"/>
    <cellStyle name="Normal 2 2 2 25 2 2 2 2 2 2 2" xfId="4397"/>
    <cellStyle name="Normal 2 2 2 25 2 2 2 2 2 2 2 10" xfId="4398"/>
    <cellStyle name="Normal 2 2 2 25 2 2 2 2 2 2 2 11" xfId="4399"/>
    <cellStyle name="Normal 2 2 2 25 2 2 2 2 2 2 2 2" xfId="4400"/>
    <cellStyle name="Normal 2 2 2 25 2 2 2 2 2 2 2 2 10" xfId="4401"/>
    <cellStyle name="Normal 2 2 2 25 2 2 2 2 2 2 2 2 11" xfId="4402"/>
    <cellStyle name="Normal 2 2 2 25 2 2 2 2 2 2 2 2 2" xfId="4403"/>
    <cellStyle name="Normal 2 2 2 25 2 2 2 2 2 2 2 2 2 2" xfId="4404"/>
    <cellStyle name="Normal 2 2 2 25 2 2 2 2 2 2 2 2 3" xfId="4405"/>
    <cellStyle name="Normal 2 2 2 25 2 2 2 2 2 2 2 2 4" xfId="4406"/>
    <cellStyle name="Normal 2 2 2 25 2 2 2 2 2 2 2 2 5" xfId="4407"/>
    <cellStyle name="Normal 2 2 2 25 2 2 2 2 2 2 2 2 6" xfId="4408"/>
    <cellStyle name="Normal 2 2 2 25 2 2 2 2 2 2 2 2 7" xfId="4409"/>
    <cellStyle name="Normal 2 2 2 25 2 2 2 2 2 2 2 2 8" xfId="4410"/>
    <cellStyle name="Normal 2 2 2 25 2 2 2 2 2 2 2 2 9" xfId="4411"/>
    <cellStyle name="Normal 2 2 2 25 2 2 2 2 2 2 2 3" xfId="4412"/>
    <cellStyle name="Normal 2 2 2 25 2 2 2 2 2 2 2 3 2" xfId="4413"/>
    <cellStyle name="Normal 2 2 2 25 2 2 2 2 2 2 2 4" xfId="4414"/>
    <cellStyle name="Normal 2 2 2 25 2 2 2 2 2 2 2 5" xfId="4415"/>
    <cellStyle name="Normal 2 2 2 25 2 2 2 2 2 2 2 6" xfId="4416"/>
    <cellStyle name="Normal 2 2 2 25 2 2 2 2 2 2 2 7" xfId="4417"/>
    <cellStyle name="Normal 2 2 2 25 2 2 2 2 2 2 2 8" xfId="4418"/>
    <cellStyle name="Normal 2 2 2 25 2 2 2 2 2 2 2 9" xfId="4419"/>
    <cellStyle name="Normal 2 2 2 25 2 2 2 2 2 2 3" xfId="4420"/>
    <cellStyle name="Normal 2 2 2 25 2 2 2 2 2 2 3 2" xfId="4421"/>
    <cellStyle name="Normal 2 2 2 25 2 2 2 2 2 2 4" xfId="4422"/>
    <cellStyle name="Normal 2 2 2 25 2 2 2 2 2 2 5" xfId="4423"/>
    <cellStyle name="Normal 2 2 2 25 2 2 2 2 2 2 6" xfId="4424"/>
    <cellStyle name="Normal 2 2 2 25 2 2 2 2 2 2 7" xfId="4425"/>
    <cellStyle name="Normal 2 2 2 25 2 2 2 2 2 2 8" xfId="4426"/>
    <cellStyle name="Normal 2 2 2 25 2 2 2 2 2 2 9" xfId="4427"/>
    <cellStyle name="Normal 2 2 2 25 2 2 2 2 2 3" xfId="4428"/>
    <cellStyle name="Normal 2 2 2 25 2 2 2 2 2 3 10" xfId="4429"/>
    <cellStyle name="Normal 2 2 2 25 2 2 2 2 2 3 11" xfId="4430"/>
    <cellStyle name="Normal 2 2 2 25 2 2 2 2 2 3 2" xfId="4431"/>
    <cellStyle name="Normal 2 2 2 25 2 2 2 2 2 3 2 2" xfId="4432"/>
    <cellStyle name="Normal 2 2 2 25 2 2 2 2 2 3 3" xfId="4433"/>
    <cellStyle name="Normal 2 2 2 25 2 2 2 2 2 3 4" xfId="4434"/>
    <cellStyle name="Normal 2 2 2 25 2 2 2 2 2 3 5" xfId="4435"/>
    <cellStyle name="Normal 2 2 2 25 2 2 2 2 2 3 6" xfId="4436"/>
    <cellStyle name="Normal 2 2 2 25 2 2 2 2 2 3 7" xfId="4437"/>
    <cellStyle name="Normal 2 2 2 25 2 2 2 2 2 3 8" xfId="4438"/>
    <cellStyle name="Normal 2 2 2 25 2 2 2 2 2 3 9" xfId="4439"/>
    <cellStyle name="Normal 2 2 2 25 2 2 2 2 2 4" xfId="4440"/>
    <cellStyle name="Normal 2 2 2 25 2 2 2 2 2 4 2" xfId="4441"/>
    <cellStyle name="Normal 2 2 2 25 2 2 2 2 2 5" xfId="4442"/>
    <cellStyle name="Normal 2 2 2 25 2 2 2 2 2 6" xfId="4443"/>
    <cellStyle name="Normal 2 2 2 25 2 2 2 2 2 7" xfId="4444"/>
    <cellStyle name="Normal 2 2 2 25 2 2 2 2 2 8" xfId="4445"/>
    <cellStyle name="Normal 2 2 2 25 2 2 2 2 2 9" xfId="4446"/>
    <cellStyle name="Normal 2 2 2 25 2 2 2 2 3" xfId="4447"/>
    <cellStyle name="Normal 2 2 2 25 2 2 2 2 3 10" xfId="4448"/>
    <cellStyle name="Normal 2 2 2 25 2 2 2 2 3 11" xfId="4449"/>
    <cellStyle name="Normal 2 2 2 25 2 2 2 2 3 2" xfId="4450"/>
    <cellStyle name="Normal 2 2 2 25 2 2 2 2 3 2 10" xfId="4451"/>
    <cellStyle name="Normal 2 2 2 25 2 2 2 2 3 2 11" xfId="4452"/>
    <cellStyle name="Normal 2 2 2 25 2 2 2 2 3 2 2" xfId="4453"/>
    <cellStyle name="Normal 2 2 2 25 2 2 2 2 3 2 2 2" xfId="4454"/>
    <cellStyle name="Normal 2 2 2 25 2 2 2 2 3 2 3" xfId="4455"/>
    <cellStyle name="Normal 2 2 2 25 2 2 2 2 3 2 4" xfId="4456"/>
    <cellStyle name="Normal 2 2 2 25 2 2 2 2 3 2 5" xfId="4457"/>
    <cellStyle name="Normal 2 2 2 25 2 2 2 2 3 2 6" xfId="4458"/>
    <cellStyle name="Normal 2 2 2 25 2 2 2 2 3 2 7" xfId="4459"/>
    <cellStyle name="Normal 2 2 2 25 2 2 2 2 3 2 8" xfId="4460"/>
    <cellStyle name="Normal 2 2 2 25 2 2 2 2 3 2 9" xfId="4461"/>
    <cellStyle name="Normal 2 2 2 25 2 2 2 2 3 3" xfId="4462"/>
    <cellStyle name="Normal 2 2 2 25 2 2 2 2 3 3 2" xfId="4463"/>
    <cellStyle name="Normal 2 2 2 25 2 2 2 2 3 4" xfId="4464"/>
    <cellStyle name="Normal 2 2 2 25 2 2 2 2 3 5" xfId="4465"/>
    <cellStyle name="Normal 2 2 2 25 2 2 2 2 3 6" xfId="4466"/>
    <cellStyle name="Normal 2 2 2 25 2 2 2 2 3 7" xfId="4467"/>
    <cellStyle name="Normal 2 2 2 25 2 2 2 2 3 8" xfId="4468"/>
    <cellStyle name="Normal 2 2 2 25 2 2 2 2 3 9" xfId="4469"/>
    <cellStyle name="Normal 2 2 2 25 2 2 2 2 4" xfId="4470"/>
    <cellStyle name="Normal 2 2 2 25 2 2 2 2 4 2" xfId="4471"/>
    <cellStyle name="Normal 2 2 2 25 2 2 2 2 5" xfId="4472"/>
    <cellStyle name="Normal 2 2 2 25 2 2 2 2 6" xfId="4473"/>
    <cellStyle name="Normal 2 2 2 25 2 2 2 2 7" xfId="4474"/>
    <cellStyle name="Normal 2 2 2 25 2 2 2 2 8" xfId="4475"/>
    <cellStyle name="Normal 2 2 2 25 2 2 2 2 9" xfId="4476"/>
    <cellStyle name="Normal 2 2 2 25 2 2 2 3" xfId="4477"/>
    <cellStyle name="Normal 2 2 2 25 2 2 2 3 10" xfId="4478"/>
    <cellStyle name="Normal 2 2 2 25 2 2 2 3 11" xfId="4479"/>
    <cellStyle name="Normal 2 2 2 25 2 2 2 3 12" xfId="4480"/>
    <cellStyle name="Normal 2 2 2 25 2 2 2 3 2" xfId="4481"/>
    <cellStyle name="Normal 2 2 2 25 2 2 2 3 2 10" xfId="4482"/>
    <cellStyle name="Normal 2 2 2 25 2 2 2 3 2 11" xfId="4483"/>
    <cellStyle name="Normal 2 2 2 25 2 2 2 3 2 2" xfId="4484"/>
    <cellStyle name="Normal 2 2 2 25 2 2 2 3 2 2 10" xfId="4485"/>
    <cellStyle name="Normal 2 2 2 25 2 2 2 3 2 2 11" xfId="4486"/>
    <cellStyle name="Normal 2 2 2 25 2 2 2 3 2 2 2" xfId="4487"/>
    <cellStyle name="Normal 2 2 2 25 2 2 2 3 2 2 2 2" xfId="4488"/>
    <cellStyle name="Normal 2 2 2 25 2 2 2 3 2 2 3" xfId="4489"/>
    <cellStyle name="Normal 2 2 2 25 2 2 2 3 2 2 4" xfId="4490"/>
    <cellStyle name="Normal 2 2 2 25 2 2 2 3 2 2 5" xfId="4491"/>
    <cellStyle name="Normal 2 2 2 25 2 2 2 3 2 2 6" xfId="4492"/>
    <cellStyle name="Normal 2 2 2 25 2 2 2 3 2 2 7" xfId="4493"/>
    <cellStyle name="Normal 2 2 2 25 2 2 2 3 2 2 8" xfId="4494"/>
    <cellStyle name="Normal 2 2 2 25 2 2 2 3 2 2 9" xfId="4495"/>
    <cellStyle name="Normal 2 2 2 25 2 2 2 3 2 3" xfId="4496"/>
    <cellStyle name="Normal 2 2 2 25 2 2 2 3 2 3 2" xfId="4497"/>
    <cellStyle name="Normal 2 2 2 25 2 2 2 3 2 4" xfId="4498"/>
    <cellStyle name="Normal 2 2 2 25 2 2 2 3 2 5" xfId="4499"/>
    <cellStyle name="Normal 2 2 2 25 2 2 2 3 2 6" xfId="4500"/>
    <cellStyle name="Normal 2 2 2 25 2 2 2 3 2 7" xfId="4501"/>
    <cellStyle name="Normal 2 2 2 25 2 2 2 3 2 8" xfId="4502"/>
    <cellStyle name="Normal 2 2 2 25 2 2 2 3 2 9" xfId="4503"/>
    <cellStyle name="Normal 2 2 2 25 2 2 2 3 3" xfId="4504"/>
    <cellStyle name="Normal 2 2 2 25 2 2 2 3 3 2" xfId="4505"/>
    <cellStyle name="Normal 2 2 2 25 2 2 2 3 4" xfId="4506"/>
    <cellStyle name="Normal 2 2 2 25 2 2 2 3 5" xfId="4507"/>
    <cellStyle name="Normal 2 2 2 25 2 2 2 3 6" xfId="4508"/>
    <cellStyle name="Normal 2 2 2 25 2 2 2 3 7" xfId="4509"/>
    <cellStyle name="Normal 2 2 2 25 2 2 2 3 8" xfId="4510"/>
    <cellStyle name="Normal 2 2 2 25 2 2 2 3 9" xfId="4511"/>
    <cellStyle name="Normal 2 2 2 25 2 2 2 4" xfId="4512"/>
    <cellStyle name="Normal 2 2 2 25 2 2 2 4 10" xfId="4513"/>
    <cellStyle name="Normal 2 2 2 25 2 2 2 4 11" xfId="4514"/>
    <cellStyle name="Normal 2 2 2 25 2 2 2 4 2" xfId="4515"/>
    <cellStyle name="Normal 2 2 2 25 2 2 2 4 2 2" xfId="4516"/>
    <cellStyle name="Normal 2 2 2 25 2 2 2 4 3" xfId="4517"/>
    <cellStyle name="Normal 2 2 2 25 2 2 2 4 4" xfId="4518"/>
    <cellStyle name="Normal 2 2 2 25 2 2 2 4 5" xfId="4519"/>
    <cellStyle name="Normal 2 2 2 25 2 2 2 4 6" xfId="4520"/>
    <cellStyle name="Normal 2 2 2 25 2 2 2 4 7" xfId="4521"/>
    <cellStyle name="Normal 2 2 2 25 2 2 2 4 8" xfId="4522"/>
    <cellStyle name="Normal 2 2 2 25 2 2 2 4 9" xfId="4523"/>
    <cellStyle name="Normal 2 2 2 25 2 2 2 5" xfId="4524"/>
    <cellStyle name="Normal 2 2 2 25 2 2 2 5 2" xfId="4525"/>
    <cellStyle name="Normal 2 2 2 25 2 2 2 6" xfId="4526"/>
    <cellStyle name="Normal 2 2 2 25 2 2 2 7" xfId="4527"/>
    <cellStyle name="Normal 2 2 2 25 2 2 2 8" xfId="4528"/>
    <cellStyle name="Normal 2 2 2 25 2 2 2 9" xfId="4529"/>
    <cellStyle name="Normal 2 2 2 25 2 2 3" xfId="4530"/>
    <cellStyle name="Normal 2 2 2 25 2 2 3 10" xfId="4531"/>
    <cellStyle name="Normal 2 2 2 25 2 2 3 11" xfId="4532"/>
    <cellStyle name="Normal 2 2 2 25 2 2 3 12" xfId="4533"/>
    <cellStyle name="Normal 2 2 2 25 2 2 3 2" xfId="4534"/>
    <cellStyle name="Normal 2 2 2 25 2 2 3 2 10" xfId="4535"/>
    <cellStyle name="Normal 2 2 2 25 2 2 3 2 11" xfId="4536"/>
    <cellStyle name="Normal 2 2 2 25 2 2 3 2 12" xfId="4537"/>
    <cellStyle name="Normal 2 2 2 25 2 2 3 2 2" xfId="4538"/>
    <cellStyle name="Normal 2 2 2 25 2 2 3 2 2 10" xfId="4539"/>
    <cellStyle name="Normal 2 2 2 25 2 2 3 2 2 11" xfId="4540"/>
    <cellStyle name="Normal 2 2 2 25 2 2 3 2 2 2" xfId="4541"/>
    <cellStyle name="Normal 2 2 2 25 2 2 3 2 2 2 10" xfId="4542"/>
    <cellStyle name="Normal 2 2 2 25 2 2 3 2 2 2 11" xfId="4543"/>
    <cellStyle name="Normal 2 2 2 25 2 2 3 2 2 2 2" xfId="4544"/>
    <cellStyle name="Normal 2 2 2 25 2 2 3 2 2 2 2 2" xfId="4545"/>
    <cellStyle name="Normal 2 2 2 25 2 2 3 2 2 2 3" xfId="4546"/>
    <cellStyle name="Normal 2 2 2 25 2 2 3 2 2 2 4" xfId="4547"/>
    <cellStyle name="Normal 2 2 2 25 2 2 3 2 2 2 5" xfId="4548"/>
    <cellStyle name="Normal 2 2 2 25 2 2 3 2 2 2 6" xfId="4549"/>
    <cellStyle name="Normal 2 2 2 25 2 2 3 2 2 2 7" xfId="4550"/>
    <cellStyle name="Normal 2 2 2 25 2 2 3 2 2 2 8" xfId="4551"/>
    <cellStyle name="Normal 2 2 2 25 2 2 3 2 2 2 9" xfId="4552"/>
    <cellStyle name="Normal 2 2 2 25 2 2 3 2 2 3" xfId="4553"/>
    <cellStyle name="Normal 2 2 2 25 2 2 3 2 2 3 2" xfId="4554"/>
    <cellStyle name="Normal 2 2 2 25 2 2 3 2 2 4" xfId="4555"/>
    <cellStyle name="Normal 2 2 2 25 2 2 3 2 2 5" xfId="4556"/>
    <cellStyle name="Normal 2 2 2 25 2 2 3 2 2 6" xfId="4557"/>
    <cellStyle name="Normal 2 2 2 25 2 2 3 2 2 7" xfId="4558"/>
    <cellStyle name="Normal 2 2 2 25 2 2 3 2 2 8" xfId="4559"/>
    <cellStyle name="Normal 2 2 2 25 2 2 3 2 2 9" xfId="4560"/>
    <cellStyle name="Normal 2 2 2 25 2 2 3 2 3" xfId="4561"/>
    <cellStyle name="Normal 2 2 2 25 2 2 3 2 3 2" xfId="4562"/>
    <cellStyle name="Normal 2 2 2 25 2 2 3 2 4" xfId="4563"/>
    <cellStyle name="Normal 2 2 2 25 2 2 3 2 5" xfId="4564"/>
    <cellStyle name="Normal 2 2 2 25 2 2 3 2 6" xfId="4565"/>
    <cellStyle name="Normal 2 2 2 25 2 2 3 2 7" xfId="4566"/>
    <cellStyle name="Normal 2 2 2 25 2 2 3 2 8" xfId="4567"/>
    <cellStyle name="Normal 2 2 2 25 2 2 3 2 9" xfId="4568"/>
    <cellStyle name="Normal 2 2 2 25 2 2 3 3" xfId="4569"/>
    <cellStyle name="Normal 2 2 2 25 2 2 3 3 10" xfId="4570"/>
    <cellStyle name="Normal 2 2 2 25 2 2 3 3 11" xfId="4571"/>
    <cellStyle name="Normal 2 2 2 25 2 2 3 3 2" xfId="4572"/>
    <cellStyle name="Normal 2 2 2 25 2 2 3 3 2 2" xfId="4573"/>
    <cellStyle name="Normal 2 2 2 25 2 2 3 3 3" xfId="4574"/>
    <cellStyle name="Normal 2 2 2 25 2 2 3 3 4" xfId="4575"/>
    <cellStyle name="Normal 2 2 2 25 2 2 3 3 5" xfId="4576"/>
    <cellStyle name="Normal 2 2 2 25 2 2 3 3 6" xfId="4577"/>
    <cellStyle name="Normal 2 2 2 25 2 2 3 3 7" xfId="4578"/>
    <cellStyle name="Normal 2 2 2 25 2 2 3 3 8" xfId="4579"/>
    <cellStyle name="Normal 2 2 2 25 2 2 3 3 9" xfId="4580"/>
    <cellStyle name="Normal 2 2 2 25 2 2 3 4" xfId="4581"/>
    <cellStyle name="Normal 2 2 2 25 2 2 3 4 2" xfId="4582"/>
    <cellStyle name="Normal 2 2 2 25 2 2 3 5" xfId="4583"/>
    <cellStyle name="Normal 2 2 2 25 2 2 3 6" xfId="4584"/>
    <cellStyle name="Normal 2 2 2 25 2 2 3 7" xfId="4585"/>
    <cellStyle name="Normal 2 2 2 25 2 2 3 8" xfId="4586"/>
    <cellStyle name="Normal 2 2 2 25 2 2 3 9" xfId="4587"/>
    <cellStyle name="Normal 2 2 2 25 2 2 4" xfId="4588"/>
    <cellStyle name="Normal 2 2 2 25 2 2 4 10" xfId="4589"/>
    <cellStyle name="Normal 2 2 2 25 2 2 4 11" xfId="4590"/>
    <cellStyle name="Normal 2 2 2 25 2 2 4 2" xfId="4591"/>
    <cellStyle name="Normal 2 2 2 25 2 2 4 2 10" xfId="4592"/>
    <cellStyle name="Normal 2 2 2 25 2 2 4 2 11" xfId="4593"/>
    <cellStyle name="Normal 2 2 2 25 2 2 4 2 2" xfId="4594"/>
    <cellStyle name="Normal 2 2 2 25 2 2 4 2 2 2" xfId="4595"/>
    <cellStyle name="Normal 2 2 2 25 2 2 4 2 3" xfId="4596"/>
    <cellStyle name="Normal 2 2 2 25 2 2 4 2 4" xfId="4597"/>
    <cellStyle name="Normal 2 2 2 25 2 2 4 2 5" xfId="4598"/>
    <cellStyle name="Normal 2 2 2 25 2 2 4 2 6" xfId="4599"/>
    <cellStyle name="Normal 2 2 2 25 2 2 4 2 7" xfId="4600"/>
    <cellStyle name="Normal 2 2 2 25 2 2 4 2 8" xfId="4601"/>
    <cellStyle name="Normal 2 2 2 25 2 2 4 2 9" xfId="4602"/>
    <cellStyle name="Normal 2 2 2 25 2 2 4 3" xfId="4603"/>
    <cellStyle name="Normal 2 2 2 25 2 2 4 3 2" xfId="4604"/>
    <cellStyle name="Normal 2 2 2 25 2 2 4 4" xfId="4605"/>
    <cellStyle name="Normal 2 2 2 25 2 2 4 5" xfId="4606"/>
    <cellStyle name="Normal 2 2 2 25 2 2 4 6" xfId="4607"/>
    <cellStyle name="Normal 2 2 2 25 2 2 4 7" xfId="4608"/>
    <cellStyle name="Normal 2 2 2 25 2 2 4 8" xfId="4609"/>
    <cellStyle name="Normal 2 2 2 25 2 2 4 9" xfId="4610"/>
    <cellStyle name="Normal 2 2 2 25 2 2 5" xfId="4611"/>
    <cellStyle name="Normal 2 2 2 25 2 2 5 2" xfId="4612"/>
    <cellStyle name="Normal 2 2 2 25 2 2 6" xfId="4613"/>
    <cellStyle name="Normal 2 2 2 25 2 2 7" xfId="4614"/>
    <cellStyle name="Normal 2 2 2 25 2 2 8" xfId="4615"/>
    <cellStyle name="Normal 2 2 2 25 2 2 9" xfId="4616"/>
    <cellStyle name="Normal 2 2 2 25 2 3" xfId="4617"/>
    <cellStyle name="Normal 2 2 2 25 2 3 10" xfId="4618"/>
    <cellStyle name="Normal 2 2 2 25 2 3 11" xfId="4619"/>
    <cellStyle name="Normal 2 2 2 25 2 3 12" xfId="4620"/>
    <cellStyle name="Normal 2 2 2 25 2 3 13" xfId="4621"/>
    <cellStyle name="Normal 2 2 2 25 2 3 2" xfId="4622"/>
    <cellStyle name="Normal 2 2 2 25 2 3 2 10" xfId="4623"/>
    <cellStyle name="Normal 2 2 2 25 2 3 2 11" xfId="4624"/>
    <cellStyle name="Normal 2 2 2 25 2 3 2 12" xfId="4625"/>
    <cellStyle name="Normal 2 2 2 25 2 3 2 2" xfId="4626"/>
    <cellStyle name="Normal 2 2 2 25 2 3 2 2 10" xfId="4627"/>
    <cellStyle name="Normal 2 2 2 25 2 3 2 2 11" xfId="4628"/>
    <cellStyle name="Normal 2 2 2 25 2 3 2 2 12" xfId="4629"/>
    <cellStyle name="Normal 2 2 2 25 2 3 2 2 2" xfId="4630"/>
    <cellStyle name="Normal 2 2 2 25 2 3 2 2 2 10" xfId="4631"/>
    <cellStyle name="Normal 2 2 2 25 2 3 2 2 2 11" xfId="4632"/>
    <cellStyle name="Normal 2 2 2 25 2 3 2 2 2 2" xfId="4633"/>
    <cellStyle name="Normal 2 2 2 25 2 3 2 2 2 2 10" xfId="4634"/>
    <cellStyle name="Normal 2 2 2 25 2 3 2 2 2 2 11" xfId="4635"/>
    <cellStyle name="Normal 2 2 2 25 2 3 2 2 2 2 2" xfId="4636"/>
    <cellStyle name="Normal 2 2 2 25 2 3 2 2 2 2 2 2" xfId="4637"/>
    <cellStyle name="Normal 2 2 2 25 2 3 2 2 2 2 3" xfId="4638"/>
    <cellStyle name="Normal 2 2 2 25 2 3 2 2 2 2 4" xfId="4639"/>
    <cellStyle name="Normal 2 2 2 25 2 3 2 2 2 2 5" xfId="4640"/>
    <cellStyle name="Normal 2 2 2 25 2 3 2 2 2 2 6" xfId="4641"/>
    <cellStyle name="Normal 2 2 2 25 2 3 2 2 2 2 7" xfId="4642"/>
    <cellStyle name="Normal 2 2 2 25 2 3 2 2 2 2 8" xfId="4643"/>
    <cellStyle name="Normal 2 2 2 25 2 3 2 2 2 2 9" xfId="4644"/>
    <cellStyle name="Normal 2 2 2 25 2 3 2 2 2 3" xfId="4645"/>
    <cellStyle name="Normal 2 2 2 25 2 3 2 2 2 3 2" xfId="4646"/>
    <cellStyle name="Normal 2 2 2 25 2 3 2 2 2 4" xfId="4647"/>
    <cellStyle name="Normal 2 2 2 25 2 3 2 2 2 5" xfId="4648"/>
    <cellStyle name="Normal 2 2 2 25 2 3 2 2 2 6" xfId="4649"/>
    <cellStyle name="Normal 2 2 2 25 2 3 2 2 2 7" xfId="4650"/>
    <cellStyle name="Normal 2 2 2 25 2 3 2 2 2 8" xfId="4651"/>
    <cellStyle name="Normal 2 2 2 25 2 3 2 2 2 9" xfId="4652"/>
    <cellStyle name="Normal 2 2 2 25 2 3 2 2 3" xfId="4653"/>
    <cellStyle name="Normal 2 2 2 25 2 3 2 2 3 2" xfId="4654"/>
    <cellStyle name="Normal 2 2 2 25 2 3 2 2 4" xfId="4655"/>
    <cellStyle name="Normal 2 2 2 25 2 3 2 2 5" xfId="4656"/>
    <cellStyle name="Normal 2 2 2 25 2 3 2 2 6" xfId="4657"/>
    <cellStyle name="Normal 2 2 2 25 2 3 2 2 7" xfId="4658"/>
    <cellStyle name="Normal 2 2 2 25 2 3 2 2 8" xfId="4659"/>
    <cellStyle name="Normal 2 2 2 25 2 3 2 2 9" xfId="4660"/>
    <cellStyle name="Normal 2 2 2 25 2 3 2 3" xfId="4661"/>
    <cellStyle name="Normal 2 2 2 25 2 3 2 3 10" xfId="4662"/>
    <cellStyle name="Normal 2 2 2 25 2 3 2 3 11" xfId="4663"/>
    <cellStyle name="Normal 2 2 2 25 2 3 2 3 2" xfId="4664"/>
    <cellStyle name="Normal 2 2 2 25 2 3 2 3 2 2" xfId="4665"/>
    <cellStyle name="Normal 2 2 2 25 2 3 2 3 3" xfId="4666"/>
    <cellStyle name="Normal 2 2 2 25 2 3 2 3 4" xfId="4667"/>
    <cellStyle name="Normal 2 2 2 25 2 3 2 3 5" xfId="4668"/>
    <cellStyle name="Normal 2 2 2 25 2 3 2 3 6" xfId="4669"/>
    <cellStyle name="Normal 2 2 2 25 2 3 2 3 7" xfId="4670"/>
    <cellStyle name="Normal 2 2 2 25 2 3 2 3 8" xfId="4671"/>
    <cellStyle name="Normal 2 2 2 25 2 3 2 3 9" xfId="4672"/>
    <cellStyle name="Normal 2 2 2 25 2 3 2 4" xfId="4673"/>
    <cellStyle name="Normal 2 2 2 25 2 3 2 4 2" xfId="4674"/>
    <cellStyle name="Normal 2 2 2 25 2 3 2 5" xfId="4675"/>
    <cellStyle name="Normal 2 2 2 25 2 3 2 6" xfId="4676"/>
    <cellStyle name="Normal 2 2 2 25 2 3 2 7" xfId="4677"/>
    <cellStyle name="Normal 2 2 2 25 2 3 2 8" xfId="4678"/>
    <cellStyle name="Normal 2 2 2 25 2 3 2 9" xfId="4679"/>
    <cellStyle name="Normal 2 2 2 25 2 3 3" xfId="4680"/>
    <cellStyle name="Normal 2 2 2 25 2 3 3 10" xfId="4681"/>
    <cellStyle name="Normal 2 2 2 25 2 3 3 11" xfId="4682"/>
    <cellStyle name="Normal 2 2 2 25 2 3 3 2" xfId="4683"/>
    <cellStyle name="Normal 2 2 2 25 2 3 3 2 10" xfId="4684"/>
    <cellStyle name="Normal 2 2 2 25 2 3 3 2 11" xfId="4685"/>
    <cellStyle name="Normal 2 2 2 25 2 3 3 2 2" xfId="4686"/>
    <cellStyle name="Normal 2 2 2 25 2 3 3 2 2 2" xfId="4687"/>
    <cellStyle name="Normal 2 2 2 25 2 3 3 2 3" xfId="4688"/>
    <cellStyle name="Normal 2 2 2 25 2 3 3 2 4" xfId="4689"/>
    <cellStyle name="Normal 2 2 2 25 2 3 3 2 5" xfId="4690"/>
    <cellStyle name="Normal 2 2 2 25 2 3 3 2 6" xfId="4691"/>
    <cellStyle name="Normal 2 2 2 25 2 3 3 2 7" xfId="4692"/>
    <cellStyle name="Normal 2 2 2 25 2 3 3 2 8" xfId="4693"/>
    <cellStyle name="Normal 2 2 2 25 2 3 3 2 9" xfId="4694"/>
    <cellStyle name="Normal 2 2 2 25 2 3 3 3" xfId="4695"/>
    <cellStyle name="Normal 2 2 2 25 2 3 3 3 2" xfId="4696"/>
    <cellStyle name="Normal 2 2 2 25 2 3 3 4" xfId="4697"/>
    <cellStyle name="Normal 2 2 2 25 2 3 3 5" xfId="4698"/>
    <cellStyle name="Normal 2 2 2 25 2 3 3 6" xfId="4699"/>
    <cellStyle name="Normal 2 2 2 25 2 3 3 7" xfId="4700"/>
    <cellStyle name="Normal 2 2 2 25 2 3 3 8" xfId="4701"/>
    <cellStyle name="Normal 2 2 2 25 2 3 3 9" xfId="4702"/>
    <cellStyle name="Normal 2 2 2 25 2 3 4" xfId="4703"/>
    <cellStyle name="Normal 2 2 2 25 2 3 4 2" xfId="4704"/>
    <cellStyle name="Normal 2 2 2 25 2 3 5" xfId="4705"/>
    <cellStyle name="Normal 2 2 2 25 2 3 6" xfId="4706"/>
    <cellStyle name="Normal 2 2 2 25 2 3 7" xfId="4707"/>
    <cellStyle name="Normal 2 2 2 25 2 3 8" xfId="4708"/>
    <cellStyle name="Normal 2 2 2 25 2 3 9" xfId="4709"/>
    <cellStyle name="Normal 2 2 2 25 2 4" xfId="4710"/>
    <cellStyle name="Normal 2 2 2 25 2 4 10" xfId="4711"/>
    <cellStyle name="Normal 2 2 2 25 2 4 11" xfId="4712"/>
    <cellStyle name="Normal 2 2 2 25 2 4 12" xfId="4713"/>
    <cellStyle name="Normal 2 2 2 25 2 4 2" xfId="4714"/>
    <cellStyle name="Normal 2 2 2 25 2 4 2 10" xfId="4715"/>
    <cellStyle name="Normal 2 2 2 25 2 4 2 11" xfId="4716"/>
    <cellStyle name="Normal 2 2 2 25 2 4 2 2" xfId="4717"/>
    <cellStyle name="Normal 2 2 2 25 2 4 2 2 10" xfId="4718"/>
    <cellStyle name="Normal 2 2 2 25 2 4 2 2 11" xfId="4719"/>
    <cellStyle name="Normal 2 2 2 25 2 4 2 2 2" xfId="4720"/>
    <cellStyle name="Normal 2 2 2 25 2 4 2 2 2 2" xfId="4721"/>
    <cellStyle name="Normal 2 2 2 25 2 4 2 2 3" xfId="4722"/>
    <cellStyle name="Normal 2 2 2 25 2 4 2 2 4" xfId="4723"/>
    <cellStyle name="Normal 2 2 2 25 2 4 2 2 5" xfId="4724"/>
    <cellStyle name="Normal 2 2 2 25 2 4 2 2 6" xfId="4725"/>
    <cellStyle name="Normal 2 2 2 25 2 4 2 2 7" xfId="4726"/>
    <cellStyle name="Normal 2 2 2 25 2 4 2 2 8" xfId="4727"/>
    <cellStyle name="Normal 2 2 2 25 2 4 2 2 9" xfId="4728"/>
    <cellStyle name="Normal 2 2 2 25 2 4 2 3" xfId="4729"/>
    <cellStyle name="Normal 2 2 2 25 2 4 2 3 2" xfId="4730"/>
    <cellStyle name="Normal 2 2 2 25 2 4 2 4" xfId="4731"/>
    <cellStyle name="Normal 2 2 2 25 2 4 2 5" xfId="4732"/>
    <cellStyle name="Normal 2 2 2 25 2 4 2 6" xfId="4733"/>
    <cellStyle name="Normal 2 2 2 25 2 4 2 7" xfId="4734"/>
    <cellStyle name="Normal 2 2 2 25 2 4 2 8" xfId="4735"/>
    <cellStyle name="Normal 2 2 2 25 2 4 2 9" xfId="4736"/>
    <cellStyle name="Normal 2 2 2 25 2 4 3" xfId="4737"/>
    <cellStyle name="Normal 2 2 2 25 2 4 3 2" xfId="4738"/>
    <cellStyle name="Normal 2 2 2 25 2 4 4" xfId="4739"/>
    <cellStyle name="Normal 2 2 2 25 2 4 5" xfId="4740"/>
    <cellStyle name="Normal 2 2 2 25 2 4 6" xfId="4741"/>
    <cellStyle name="Normal 2 2 2 25 2 4 7" xfId="4742"/>
    <cellStyle name="Normal 2 2 2 25 2 4 8" xfId="4743"/>
    <cellStyle name="Normal 2 2 2 25 2 4 9" xfId="4744"/>
    <cellStyle name="Normal 2 2 2 25 2 5" xfId="4745"/>
    <cellStyle name="Normal 2 2 2 25 2 5 10" xfId="4746"/>
    <cellStyle name="Normal 2 2 2 25 2 5 11" xfId="4747"/>
    <cellStyle name="Normal 2 2 2 25 2 5 2" xfId="4748"/>
    <cellStyle name="Normal 2 2 2 25 2 5 2 2" xfId="4749"/>
    <cellStyle name="Normal 2 2 2 25 2 5 3" xfId="4750"/>
    <cellStyle name="Normal 2 2 2 25 2 5 4" xfId="4751"/>
    <cellStyle name="Normal 2 2 2 25 2 5 5" xfId="4752"/>
    <cellStyle name="Normal 2 2 2 25 2 5 6" xfId="4753"/>
    <cellStyle name="Normal 2 2 2 25 2 5 7" xfId="4754"/>
    <cellStyle name="Normal 2 2 2 25 2 5 8" xfId="4755"/>
    <cellStyle name="Normal 2 2 2 25 2 5 9" xfId="4756"/>
    <cellStyle name="Normal 2 2 2 25 2 6" xfId="4757"/>
    <cellStyle name="Normal 2 2 2 25 2 6 2" xfId="4758"/>
    <cellStyle name="Normal 2 2 2 25 2 7" xfId="4759"/>
    <cellStyle name="Normal 2 2 2 25 2 8" xfId="4760"/>
    <cellStyle name="Normal 2 2 2 25 2 9" xfId="4761"/>
    <cellStyle name="Normal 2 2 2 25 3" xfId="4762"/>
    <cellStyle name="Normal 2 2 2 25 3 10" xfId="4763"/>
    <cellStyle name="Normal 2 2 2 25 3 11" xfId="4764"/>
    <cellStyle name="Normal 2 2 2 25 3 12" xfId="4765"/>
    <cellStyle name="Normal 2 2 2 25 3 13" xfId="4766"/>
    <cellStyle name="Normal 2 2 2 25 3 2" xfId="4767"/>
    <cellStyle name="Normal 2 2 2 25 3 2 10" xfId="4768"/>
    <cellStyle name="Normal 2 2 2 25 3 2 11" xfId="4769"/>
    <cellStyle name="Normal 2 2 2 25 3 2 12" xfId="4770"/>
    <cellStyle name="Normal 2 2 2 25 3 2 13" xfId="4771"/>
    <cellStyle name="Normal 2 2 2 25 3 2 2" xfId="4772"/>
    <cellStyle name="Normal 2 2 2 25 3 2 2 10" xfId="4773"/>
    <cellStyle name="Normal 2 2 2 25 3 2 2 11" xfId="4774"/>
    <cellStyle name="Normal 2 2 2 25 3 2 2 12" xfId="4775"/>
    <cellStyle name="Normal 2 2 2 25 3 2 2 2" xfId="4776"/>
    <cellStyle name="Normal 2 2 2 25 3 2 2 2 10" xfId="4777"/>
    <cellStyle name="Normal 2 2 2 25 3 2 2 2 11" xfId="4778"/>
    <cellStyle name="Normal 2 2 2 25 3 2 2 2 12" xfId="4779"/>
    <cellStyle name="Normal 2 2 2 25 3 2 2 2 2" xfId="4780"/>
    <cellStyle name="Normal 2 2 2 25 3 2 2 2 2 10" xfId="4781"/>
    <cellStyle name="Normal 2 2 2 25 3 2 2 2 2 11" xfId="4782"/>
    <cellStyle name="Normal 2 2 2 25 3 2 2 2 2 2" xfId="4783"/>
    <cellStyle name="Normal 2 2 2 25 3 2 2 2 2 2 10" xfId="4784"/>
    <cellStyle name="Normal 2 2 2 25 3 2 2 2 2 2 11" xfId="4785"/>
    <cellStyle name="Normal 2 2 2 25 3 2 2 2 2 2 2" xfId="4786"/>
    <cellStyle name="Normal 2 2 2 25 3 2 2 2 2 2 2 2" xfId="4787"/>
    <cellStyle name="Normal 2 2 2 25 3 2 2 2 2 2 3" xfId="4788"/>
    <cellStyle name="Normal 2 2 2 25 3 2 2 2 2 2 4" xfId="4789"/>
    <cellStyle name="Normal 2 2 2 25 3 2 2 2 2 2 5" xfId="4790"/>
    <cellStyle name="Normal 2 2 2 25 3 2 2 2 2 2 6" xfId="4791"/>
    <cellStyle name="Normal 2 2 2 25 3 2 2 2 2 2 7" xfId="4792"/>
    <cellStyle name="Normal 2 2 2 25 3 2 2 2 2 2 8" xfId="4793"/>
    <cellStyle name="Normal 2 2 2 25 3 2 2 2 2 2 9" xfId="4794"/>
    <cellStyle name="Normal 2 2 2 25 3 2 2 2 2 3" xfId="4795"/>
    <cellStyle name="Normal 2 2 2 25 3 2 2 2 2 3 2" xfId="4796"/>
    <cellStyle name="Normal 2 2 2 25 3 2 2 2 2 4" xfId="4797"/>
    <cellStyle name="Normal 2 2 2 25 3 2 2 2 2 5" xfId="4798"/>
    <cellStyle name="Normal 2 2 2 25 3 2 2 2 2 6" xfId="4799"/>
    <cellStyle name="Normal 2 2 2 25 3 2 2 2 2 7" xfId="4800"/>
    <cellStyle name="Normal 2 2 2 25 3 2 2 2 2 8" xfId="4801"/>
    <cellStyle name="Normal 2 2 2 25 3 2 2 2 2 9" xfId="4802"/>
    <cellStyle name="Normal 2 2 2 25 3 2 2 2 3" xfId="4803"/>
    <cellStyle name="Normal 2 2 2 25 3 2 2 2 3 2" xfId="4804"/>
    <cellStyle name="Normal 2 2 2 25 3 2 2 2 4" xfId="4805"/>
    <cellStyle name="Normal 2 2 2 25 3 2 2 2 5" xfId="4806"/>
    <cellStyle name="Normal 2 2 2 25 3 2 2 2 6" xfId="4807"/>
    <cellStyle name="Normal 2 2 2 25 3 2 2 2 7" xfId="4808"/>
    <cellStyle name="Normal 2 2 2 25 3 2 2 2 8" xfId="4809"/>
    <cellStyle name="Normal 2 2 2 25 3 2 2 2 9" xfId="4810"/>
    <cellStyle name="Normal 2 2 2 25 3 2 2 3" xfId="4811"/>
    <cellStyle name="Normal 2 2 2 25 3 2 2 3 10" xfId="4812"/>
    <cellStyle name="Normal 2 2 2 25 3 2 2 3 11" xfId="4813"/>
    <cellStyle name="Normal 2 2 2 25 3 2 2 3 2" xfId="4814"/>
    <cellStyle name="Normal 2 2 2 25 3 2 2 3 2 2" xfId="4815"/>
    <cellStyle name="Normal 2 2 2 25 3 2 2 3 3" xfId="4816"/>
    <cellStyle name="Normal 2 2 2 25 3 2 2 3 4" xfId="4817"/>
    <cellStyle name="Normal 2 2 2 25 3 2 2 3 5" xfId="4818"/>
    <cellStyle name="Normal 2 2 2 25 3 2 2 3 6" xfId="4819"/>
    <cellStyle name="Normal 2 2 2 25 3 2 2 3 7" xfId="4820"/>
    <cellStyle name="Normal 2 2 2 25 3 2 2 3 8" xfId="4821"/>
    <cellStyle name="Normal 2 2 2 25 3 2 2 3 9" xfId="4822"/>
    <cellStyle name="Normal 2 2 2 25 3 2 2 4" xfId="4823"/>
    <cellStyle name="Normal 2 2 2 25 3 2 2 4 2" xfId="4824"/>
    <cellStyle name="Normal 2 2 2 25 3 2 2 5" xfId="4825"/>
    <cellStyle name="Normal 2 2 2 25 3 2 2 6" xfId="4826"/>
    <cellStyle name="Normal 2 2 2 25 3 2 2 7" xfId="4827"/>
    <cellStyle name="Normal 2 2 2 25 3 2 2 8" xfId="4828"/>
    <cellStyle name="Normal 2 2 2 25 3 2 2 9" xfId="4829"/>
    <cellStyle name="Normal 2 2 2 25 3 2 3" xfId="4830"/>
    <cellStyle name="Normal 2 2 2 25 3 2 3 10" xfId="4831"/>
    <cellStyle name="Normal 2 2 2 25 3 2 3 11" xfId="4832"/>
    <cellStyle name="Normal 2 2 2 25 3 2 3 2" xfId="4833"/>
    <cellStyle name="Normal 2 2 2 25 3 2 3 2 10" xfId="4834"/>
    <cellStyle name="Normal 2 2 2 25 3 2 3 2 11" xfId="4835"/>
    <cellStyle name="Normal 2 2 2 25 3 2 3 2 2" xfId="4836"/>
    <cellStyle name="Normal 2 2 2 25 3 2 3 2 2 2" xfId="4837"/>
    <cellStyle name="Normal 2 2 2 25 3 2 3 2 3" xfId="4838"/>
    <cellStyle name="Normal 2 2 2 25 3 2 3 2 4" xfId="4839"/>
    <cellStyle name="Normal 2 2 2 25 3 2 3 2 5" xfId="4840"/>
    <cellStyle name="Normal 2 2 2 25 3 2 3 2 6" xfId="4841"/>
    <cellStyle name="Normal 2 2 2 25 3 2 3 2 7" xfId="4842"/>
    <cellStyle name="Normal 2 2 2 25 3 2 3 2 8" xfId="4843"/>
    <cellStyle name="Normal 2 2 2 25 3 2 3 2 9" xfId="4844"/>
    <cellStyle name="Normal 2 2 2 25 3 2 3 3" xfId="4845"/>
    <cellStyle name="Normal 2 2 2 25 3 2 3 3 2" xfId="4846"/>
    <cellStyle name="Normal 2 2 2 25 3 2 3 4" xfId="4847"/>
    <cellStyle name="Normal 2 2 2 25 3 2 3 5" xfId="4848"/>
    <cellStyle name="Normal 2 2 2 25 3 2 3 6" xfId="4849"/>
    <cellStyle name="Normal 2 2 2 25 3 2 3 7" xfId="4850"/>
    <cellStyle name="Normal 2 2 2 25 3 2 3 8" xfId="4851"/>
    <cellStyle name="Normal 2 2 2 25 3 2 3 9" xfId="4852"/>
    <cellStyle name="Normal 2 2 2 25 3 2 4" xfId="4853"/>
    <cellStyle name="Normal 2 2 2 25 3 2 4 2" xfId="4854"/>
    <cellStyle name="Normal 2 2 2 25 3 2 5" xfId="4855"/>
    <cellStyle name="Normal 2 2 2 25 3 2 6" xfId="4856"/>
    <cellStyle name="Normal 2 2 2 25 3 2 7" xfId="4857"/>
    <cellStyle name="Normal 2 2 2 25 3 2 8" xfId="4858"/>
    <cellStyle name="Normal 2 2 2 25 3 2 9" xfId="4859"/>
    <cellStyle name="Normal 2 2 2 25 3 3" xfId="4860"/>
    <cellStyle name="Normal 2 2 2 25 3 3 10" xfId="4861"/>
    <cellStyle name="Normal 2 2 2 25 3 3 11" xfId="4862"/>
    <cellStyle name="Normal 2 2 2 25 3 3 12" xfId="4863"/>
    <cellStyle name="Normal 2 2 2 25 3 3 2" xfId="4864"/>
    <cellStyle name="Normal 2 2 2 25 3 3 2 10" xfId="4865"/>
    <cellStyle name="Normal 2 2 2 25 3 3 2 11" xfId="4866"/>
    <cellStyle name="Normal 2 2 2 25 3 3 2 2" xfId="4867"/>
    <cellStyle name="Normal 2 2 2 25 3 3 2 2 10" xfId="4868"/>
    <cellStyle name="Normal 2 2 2 25 3 3 2 2 11" xfId="4869"/>
    <cellStyle name="Normal 2 2 2 25 3 3 2 2 2" xfId="4870"/>
    <cellStyle name="Normal 2 2 2 25 3 3 2 2 2 2" xfId="4871"/>
    <cellStyle name="Normal 2 2 2 25 3 3 2 2 3" xfId="4872"/>
    <cellStyle name="Normal 2 2 2 25 3 3 2 2 4" xfId="4873"/>
    <cellStyle name="Normal 2 2 2 25 3 3 2 2 5" xfId="4874"/>
    <cellStyle name="Normal 2 2 2 25 3 3 2 2 6" xfId="4875"/>
    <cellStyle name="Normal 2 2 2 25 3 3 2 2 7" xfId="4876"/>
    <cellStyle name="Normal 2 2 2 25 3 3 2 2 8" xfId="4877"/>
    <cellStyle name="Normal 2 2 2 25 3 3 2 2 9" xfId="4878"/>
    <cellStyle name="Normal 2 2 2 25 3 3 2 3" xfId="4879"/>
    <cellStyle name="Normal 2 2 2 25 3 3 2 3 2" xfId="4880"/>
    <cellStyle name="Normal 2 2 2 25 3 3 2 4" xfId="4881"/>
    <cellStyle name="Normal 2 2 2 25 3 3 2 5" xfId="4882"/>
    <cellStyle name="Normal 2 2 2 25 3 3 2 6" xfId="4883"/>
    <cellStyle name="Normal 2 2 2 25 3 3 2 7" xfId="4884"/>
    <cellStyle name="Normal 2 2 2 25 3 3 2 8" xfId="4885"/>
    <cellStyle name="Normal 2 2 2 25 3 3 2 9" xfId="4886"/>
    <cellStyle name="Normal 2 2 2 25 3 3 3" xfId="4887"/>
    <cellStyle name="Normal 2 2 2 25 3 3 3 2" xfId="4888"/>
    <cellStyle name="Normal 2 2 2 25 3 3 4" xfId="4889"/>
    <cellStyle name="Normal 2 2 2 25 3 3 5" xfId="4890"/>
    <cellStyle name="Normal 2 2 2 25 3 3 6" xfId="4891"/>
    <cellStyle name="Normal 2 2 2 25 3 3 7" xfId="4892"/>
    <cellStyle name="Normal 2 2 2 25 3 3 8" xfId="4893"/>
    <cellStyle name="Normal 2 2 2 25 3 3 9" xfId="4894"/>
    <cellStyle name="Normal 2 2 2 25 3 4" xfId="4895"/>
    <cellStyle name="Normal 2 2 2 25 3 4 10" xfId="4896"/>
    <cellStyle name="Normal 2 2 2 25 3 4 11" xfId="4897"/>
    <cellStyle name="Normal 2 2 2 25 3 4 2" xfId="4898"/>
    <cellStyle name="Normal 2 2 2 25 3 4 2 2" xfId="4899"/>
    <cellStyle name="Normal 2 2 2 25 3 4 3" xfId="4900"/>
    <cellStyle name="Normal 2 2 2 25 3 4 4" xfId="4901"/>
    <cellStyle name="Normal 2 2 2 25 3 4 5" xfId="4902"/>
    <cellStyle name="Normal 2 2 2 25 3 4 6" xfId="4903"/>
    <cellStyle name="Normal 2 2 2 25 3 4 7" xfId="4904"/>
    <cellStyle name="Normal 2 2 2 25 3 4 8" xfId="4905"/>
    <cellStyle name="Normal 2 2 2 25 3 4 9" xfId="4906"/>
    <cellStyle name="Normal 2 2 2 25 3 5" xfId="4907"/>
    <cellStyle name="Normal 2 2 2 25 3 5 2" xfId="4908"/>
    <cellStyle name="Normal 2 2 2 25 3 6" xfId="4909"/>
    <cellStyle name="Normal 2 2 2 25 3 7" xfId="4910"/>
    <cellStyle name="Normal 2 2 2 25 3 8" xfId="4911"/>
    <cellStyle name="Normal 2 2 2 25 3 9" xfId="4912"/>
    <cellStyle name="Normal 2 2 2 25 4" xfId="4913"/>
    <cellStyle name="Normal 2 2 2 25 4 10" xfId="4914"/>
    <cellStyle name="Normal 2 2 2 25 4 11" xfId="4915"/>
    <cellStyle name="Normal 2 2 2 25 4 12" xfId="4916"/>
    <cellStyle name="Normal 2 2 2 25 4 2" xfId="4917"/>
    <cellStyle name="Normal 2 2 2 25 4 2 10" xfId="4918"/>
    <cellStyle name="Normal 2 2 2 25 4 2 11" xfId="4919"/>
    <cellStyle name="Normal 2 2 2 25 4 2 12" xfId="4920"/>
    <cellStyle name="Normal 2 2 2 25 4 2 2" xfId="4921"/>
    <cellStyle name="Normal 2 2 2 25 4 2 2 10" xfId="4922"/>
    <cellStyle name="Normal 2 2 2 25 4 2 2 11" xfId="4923"/>
    <cellStyle name="Normal 2 2 2 25 4 2 2 2" xfId="4924"/>
    <cellStyle name="Normal 2 2 2 25 4 2 2 2 10" xfId="4925"/>
    <cellStyle name="Normal 2 2 2 25 4 2 2 2 11" xfId="4926"/>
    <cellStyle name="Normal 2 2 2 25 4 2 2 2 2" xfId="4927"/>
    <cellStyle name="Normal 2 2 2 25 4 2 2 2 2 2" xfId="4928"/>
    <cellStyle name="Normal 2 2 2 25 4 2 2 2 3" xfId="4929"/>
    <cellStyle name="Normal 2 2 2 25 4 2 2 2 4" xfId="4930"/>
    <cellStyle name="Normal 2 2 2 25 4 2 2 2 5" xfId="4931"/>
    <cellStyle name="Normal 2 2 2 25 4 2 2 2 6" xfId="4932"/>
    <cellStyle name="Normal 2 2 2 25 4 2 2 2 7" xfId="4933"/>
    <cellStyle name="Normal 2 2 2 25 4 2 2 2 8" xfId="4934"/>
    <cellStyle name="Normal 2 2 2 25 4 2 2 2 9" xfId="4935"/>
    <cellStyle name="Normal 2 2 2 25 4 2 2 3" xfId="4936"/>
    <cellStyle name="Normal 2 2 2 25 4 2 2 3 2" xfId="4937"/>
    <cellStyle name="Normal 2 2 2 25 4 2 2 4" xfId="4938"/>
    <cellStyle name="Normal 2 2 2 25 4 2 2 5" xfId="4939"/>
    <cellStyle name="Normal 2 2 2 25 4 2 2 6" xfId="4940"/>
    <cellStyle name="Normal 2 2 2 25 4 2 2 7" xfId="4941"/>
    <cellStyle name="Normal 2 2 2 25 4 2 2 8" xfId="4942"/>
    <cellStyle name="Normal 2 2 2 25 4 2 2 9" xfId="4943"/>
    <cellStyle name="Normal 2 2 2 25 4 2 3" xfId="4944"/>
    <cellStyle name="Normal 2 2 2 25 4 2 3 2" xfId="4945"/>
    <cellStyle name="Normal 2 2 2 25 4 2 4" xfId="4946"/>
    <cellStyle name="Normal 2 2 2 25 4 2 5" xfId="4947"/>
    <cellStyle name="Normal 2 2 2 25 4 2 6" xfId="4948"/>
    <cellStyle name="Normal 2 2 2 25 4 2 7" xfId="4949"/>
    <cellStyle name="Normal 2 2 2 25 4 2 8" xfId="4950"/>
    <cellStyle name="Normal 2 2 2 25 4 2 9" xfId="4951"/>
    <cellStyle name="Normal 2 2 2 25 4 3" xfId="4952"/>
    <cellStyle name="Normal 2 2 2 25 4 3 10" xfId="4953"/>
    <cellStyle name="Normal 2 2 2 25 4 3 11" xfId="4954"/>
    <cellStyle name="Normal 2 2 2 25 4 3 2" xfId="4955"/>
    <cellStyle name="Normal 2 2 2 25 4 3 2 2" xfId="4956"/>
    <cellStyle name="Normal 2 2 2 25 4 3 3" xfId="4957"/>
    <cellStyle name="Normal 2 2 2 25 4 3 4" xfId="4958"/>
    <cellStyle name="Normal 2 2 2 25 4 3 5" xfId="4959"/>
    <cellStyle name="Normal 2 2 2 25 4 3 6" xfId="4960"/>
    <cellStyle name="Normal 2 2 2 25 4 3 7" xfId="4961"/>
    <cellStyle name="Normal 2 2 2 25 4 3 8" xfId="4962"/>
    <cellStyle name="Normal 2 2 2 25 4 3 9" xfId="4963"/>
    <cellStyle name="Normal 2 2 2 25 4 4" xfId="4964"/>
    <cellStyle name="Normal 2 2 2 25 4 4 2" xfId="4965"/>
    <cellStyle name="Normal 2 2 2 25 4 5" xfId="4966"/>
    <cellStyle name="Normal 2 2 2 25 4 6" xfId="4967"/>
    <cellStyle name="Normal 2 2 2 25 4 7" xfId="4968"/>
    <cellStyle name="Normal 2 2 2 25 4 8" xfId="4969"/>
    <cellStyle name="Normal 2 2 2 25 4 9" xfId="4970"/>
    <cellStyle name="Normal 2 2 2 25 5" xfId="4971"/>
    <cellStyle name="Normal 2 2 2 25 5 10" xfId="4972"/>
    <cellStyle name="Normal 2 2 2 25 5 11" xfId="4973"/>
    <cellStyle name="Normal 2 2 2 25 5 2" xfId="4974"/>
    <cellStyle name="Normal 2 2 2 25 5 2 10" xfId="4975"/>
    <cellStyle name="Normal 2 2 2 25 5 2 11" xfId="4976"/>
    <cellStyle name="Normal 2 2 2 25 5 2 2" xfId="4977"/>
    <cellStyle name="Normal 2 2 2 25 5 2 2 2" xfId="4978"/>
    <cellStyle name="Normal 2 2 2 25 5 2 3" xfId="4979"/>
    <cellStyle name="Normal 2 2 2 25 5 2 4" xfId="4980"/>
    <cellStyle name="Normal 2 2 2 25 5 2 5" xfId="4981"/>
    <cellStyle name="Normal 2 2 2 25 5 2 6" xfId="4982"/>
    <cellStyle name="Normal 2 2 2 25 5 2 7" xfId="4983"/>
    <cellStyle name="Normal 2 2 2 25 5 2 8" xfId="4984"/>
    <cellStyle name="Normal 2 2 2 25 5 2 9" xfId="4985"/>
    <cellStyle name="Normal 2 2 2 25 5 3" xfId="4986"/>
    <cellStyle name="Normal 2 2 2 25 5 3 2" xfId="4987"/>
    <cellStyle name="Normal 2 2 2 25 5 4" xfId="4988"/>
    <cellStyle name="Normal 2 2 2 25 5 5" xfId="4989"/>
    <cellStyle name="Normal 2 2 2 25 5 6" xfId="4990"/>
    <cellStyle name="Normal 2 2 2 25 5 7" xfId="4991"/>
    <cellStyle name="Normal 2 2 2 25 5 8" xfId="4992"/>
    <cellStyle name="Normal 2 2 2 25 5 9" xfId="4993"/>
    <cellStyle name="Normal 2 2 2 25 6" xfId="4994"/>
    <cellStyle name="Normal 2 2 2 25 6 2" xfId="4995"/>
    <cellStyle name="Normal 2 2 2 25 7" xfId="4996"/>
    <cellStyle name="Normal 2 2 2 25 8" xfId="4997"/>
    <cellStyle name="Normal 2 2 2 25 9" xfId="4998"/>
    <cellStyle name="Normal 2 2 2 26" xfId="4999"/>
    <cellStyle name="Normal 2 2 2 26 10" xfId="5000"/>
    <cellStyle name="Normal 2 2 2 26 11" xfId="5001"/>
    <cellStyle name="Normal 2 2 2 26 12" xfId="5002"/>
    <cellStyle name="Normal 2 2 2 26 13" xfId="5003"/>
    <cellStyle name="Normal 2 2 2 26 14" xfId="5004"/>
    <cellStyle name="Normal 2 2 2 26 2" xfId="5005"/>
    <cellStyle name="Normal 2 2 2 26 2 10" xfId="5006"/>
    <cellStyle name="Normal 2 2 2 26 2 11" xfId="5007"/>
    <cellStyle name="Normal 2 2 2 26 2 12" xfId="5008"/>
    <cellStyle name="Normal 2 2 2 26 2 13" xfId="5009"/>
    <cellStyle name="Normal 2 2 2 26 2 2" xfId="5010"/>
    <cellStyle name="Normal 2 2 2 26 2 2 10" xfId="5011"/>
    <cellStyle name="Normal 2 2 2 26 2 2 11" xfId="5012"/>
    <cellStyle name="Normal 2 2 2 26 2 2 12" xfId="5013"/>
    <cellStyle name="Normal 2 2 2 26 2 2 13" xfId="5014"/>
    <cellStyle name="Normal 2 2 2 26 2 2 2" xfId="5015"/>
    <cellStyle name="Normal 2 2 2 26 2 2 2 10" xfId="5016"/>
    <cellStyle name="Normal 2 2 2 26 2 2 2 11" xfId="5017"/>
    <cellStyle name="Normal 2 2 2 26 2 2 2 12" xfId="5018"/>
    <cellStyle name="Normal 2 2 2 26 2 2 2 2" xfId="5019"/>
    <cellStyle name="Normal 2 2 2 26 2 2 2 2 10" xfId="5020"/>
    <cellStyle name="Normal 2 2 2 26 2 2 2 2 11" xfId="5021"/>
    <cellStyle name="Normal 2 2 2 26 2 2 2 2 12" xfId="5022"/>
    <cellStyle name="Normal 2 2 2 26 2 2 2 2 2" xfId="5023"/>
    <cellStyle name="Normal 2 2 2 26 2 2 2 2 2 10" xfId="5024"/>
    <cellStyle name="Normal 2 2 2 26 2 2 2 2 2 11" xfId="5025"/>
    <cellStyle name="Normal 2 2 2 26 2 2 2 2 2 2" xfId="5026"/>
    <cellStyle name="Normal 2 2 2 26 2 2 2 2 2 2 10" xfId="5027"/>
    <cellStyle name="Normal 2 2 2 26 2 2 2 2 2 2 11" xfId="5028"/>
    <cellStyle name="Normal 2 2 2 26 2 2 2 2 2 2 2" xfId="5029"/>
    <cellStyle name="Normal 2 2 2 26 2 2 2 2 2 2 2 2" xfId="5030"/>
    <cellStyle name="Normal 2 2 2 26 2 2 2 2 2 2 3" xfId="5031"/>
    <cellStyle name="Normal 2 2 2 26 2 2 2 2 2 2 4" xfId="5032"/>
    <cellStyle name="Normal 2 2 2 26 2 2 2 2 2 2 5" xfId="5033"/>
    <cellStyle name="Normal 2 2 2 26 2 2 2 2 2 2 6" xfId="5034"/>
    <cellStyle name="Normal 2 2 2 26 2 2 2 2 2 2 7" xfId="5035"/>
    <cellStyle name="Normal 2 2 2 26 2 2 2 2 2 2 8" xfId="5036"/>
    <cellStyle name="Normal 2 2 2 26 2 2 2 2 2 2 9" xfId="5037"/>
    <cellStyle name="Normal 2 2 2 26 2 2 2 2 2 3" xfId="5038"/>
    <cellStyle name="Normal 2 2 2 26 2 2 2 2 2 3 2" xfId="5039"/>
    <cellStyle name="Normal 2 2 2 26 2 2 2 2 2 4" xfId="5040"/>
    <cellStyle name="Normal 2 2 2 26 2 2 2 2 2 5" xfId="5041"/>
    <cellStyle name="Normal 2 2 2 26 2 2 2 2 2 6" xfId="5042"/>
    <cellStyle name="Normal 2 2 2 26 2 2 2 2 2 7" xfId="5043"/>
    <cellStyle name="Normal 2 2 2 26 2 2 2 2 2 8" xfId="5044"/>
    <cellStyle name="Normal 2 2 2 26 2 2 2 2 2 9" xfId="5045"/>
    <cellStyle name="Normal 2 2 2 26 2 2 2 2 3" xfId="5046"/>
    <cellStyle name="Normal 2 2 2 26 2 2 2 2 3 2" xfId="5047"/>
    <cellStyle name="Normal 2 2 2 26 2 2 2 2 4" xfId="5048"/>
    <cellStyle name="Normal 2 2 2 26 2 2 2 2 5" xfId="5049"/>
    <cellStyle name="Normal 2 2 2 26 2 2 2 2 6" xfId="5050"/>
    <cellStyle name="Normal 2 2 2 26 2 2 2 2 7" xfId="5051"/>
    <cellStyle name="Normal 2 2 2 26 2 2 2 2 8" xfId="5052"/>
    <cellStyle name="Normal 2 2 2 26 2 2 2 2 9" xfId="5053"/>
    <cellStyle name="Normal 2 2 2 26 2 2 2 3" xfId="5054"/>
    <cellStyle name="Normal 2 2 2 26 2 2 2 3 10" xfId="5055"/>
    <cellStyle name="Normal 2 2 2 26 2 2 2 3 11" xfId="5056"/>
    <cellStyle name="Normal 2 2 2 26 2 2 2 3 2" xfId="5057"/>
    <cellStyle name="Normal 2 2 2 26 2 2 2 3 2 2" xfId="5058"/>
    <cellStyle name="Normal 2 2 2 26 2 2 2 3 3" xfId="5059"/>
    <cellStyle name="Normal 2 2 2 26 2 2 2 3 4" xfId="5060"/>
    <cellStyle name="Normal 2 2 2 26 2 2 2 3 5" xfId="5061"/>
    <cellStyle name="Normal 2 2 2 26 2 2 2 3 6" xfId="5062"/>
    <cellStyle name="Normal 2 2 2 26 2 2 2 3 7" xfId="5063"/>
    <cellStyle name="Normal 2 2 2 26 2 2 2 3 8" xfId="5064"/>
    <cellStyle name="Normal 2 2 2 26 2 2 2 3 9" xfId="5065"/>
    <cellStyle name="Normal 2 2 2 26 2 2 2 4" xfId="5066"/>
    <cellStyle name="Normal 2 2 2 26 2 2 2 4 2" xfId="5067"/>
    <cellStyle name="Normal 2 2 2 26 2 2 2 5" xfId="5068"/>
    <cellStyle name="Normal 2 2 2 26 2 2 2 6" xfId="5069"/>
    <cellStyle name="Normal 2 2 2 26 2 2 2 7" xfId="5070"/>
    <cellStyle name="Normal 2 2 2 26 2 2 2 8" xfId="5071"/>
    <cellStyle name="Normal 2 2 2 26 2 2 2 9" xfId="5072"/>
    <cellStyle name="Normal 2 2 2 26 2 2 3" xfId="5073"/>
    <cellStyle name="Normal 2 2 2 26 2 2 3 10" xfId="5074"/>
    <cellStyle name="Normal 2 2 2 26 2 2 3 11" xfId="5075"/>
    <cellStyle name="Normal 2 2 2 26 2 2 3 2" xfId="5076"/>
    <cellStyle name="Normal 2 2 2 26 2 2 3 2 10" xfId="5077"/>
    <cellStyle name="Normal 2 2 2 26 2 2 3 2 11" xfId="5078"/>
    <cellStyle name="Normal 2 2 2 26 2 2 3 2 2" xfId="5079"/>
    <cellStyle name="Normal 2 2 2 26 2 2 3 2 2 2" xfId="5080"/>
    <cellStyle name="Normal 2 2 2 26 2 2 3 2 3" xfId="5081"/>
    <cellStyle name="Normal 2 2 2 26 2 2 3 2 4" xfId="5082"/>
    <cellStyle name="Normal 2 2 2 26 2 2 3 2 5" xfId="5083"/>
    <cellStyle name="Normal 2 2 2 26 2 2 3 2 6" xfId="5084"/>
    <cellStyle name="Normal 2 2 2 26 2 2 3 2 7" xfId="5085"/>
    <cellStyle name="Normal 2 2 2 26 2 2 3 2 8" xfId="5086"/>
    <cellStyle name="Normal 2 2 2 26 2 2 3 2 9" xfId="5087"/>
    <cellStyle name="Normal 2 2 2 26 2 2 3 3" xfId="5088"/>
    <cellStyle name="Normal 2 2 2 26 2 2 3 3 2" xfId="5089"/>
    <cellStyle name="Normal 2 2 2 26 2 2 3 4" xfId="5090"/>
    <cellStyle name="Normal 2 2 2 26 2 2 3 5" xfId="5091"/>
    <cellStyle name="Normal 2 2 2 26 2 2 3 6" xfId="5092"/>
    <cellStyle name="Normal 2 2 2 26 2 2 3 7" xfId="5093"/>
    <cellStyle name="Normal 2 2 2 26 2 2 3 8" xfId="5094"/>
    <cellStyle name="Normal 2 2 2 26 2 2 3 9" xfId="5095"/>
    <cellStyle name="Normal 2 2 2 26 2 2 4" xfId="5096"/>
    <cellStyle name="Normal 2 2 2 26 2 2 4 2" xfId="5097"/>
    <cellStyle name="Normal 2 2 2 26 2 2 5" xfId="5098"/>
    <cellStyle name="Normal 2 2 2 26 2 2 6" xfId="5099"/>
    <cellStyle name="Normal 2 2 2 26 2 2 7" xfId="5100"/>
    <cellStyle name="Normal 2 2 2 26 2 2 8" xfId="5101"/>
    <cellStyle name="Normal 2 2 2 26 2 2 9" xfId="5102"/>
    <cellStyle name="Normal 2 2 2 26 2 3" xfId="5103"/>
    <cellStyle name="Normal 2 2 2 26 2 3 10" xfId="5104"/>
    <cellStyle name="Normal 2 2 2 26 2 3 11" xfId="5105"/>
    <cellStyle name="Normal 2 2 2 26 2 3 12" xfId="5106"/>
    <cellStyle name="Normal 2 2 2 26 2 3 2" xfId="5107"/>
    <cellStyle name="Normal 2 2 2 26 2 3 2 10" xfId="5108"/>
    <cellStyle name="Normal 2 2 2 26 2 3 2 11" xfId="5109"/>
    <cellStyle name="Normal 2 2 2 26 2 3 2 2" xfId="5110"/>
    <cellStyle name="Normal 2 2 2 26 2 3 2 2 10" xfId="5111"/>
    <cellStyle name="Normal 2 2 2 26 2 3 2 2 11" xfId="5112"/>
    <cellStyle name="Normal 2 2 2 26 2 3 2 2 2" xfId="5113"/>
    <cellStyle name="Normal 2 2 2 26 2 3 2 2 2 2" xfId="5114"/>
    <cellStyle name="Normal 2 2 2 26 2 3 2 2 3" xfId="5115"/>
    <cellStyle name="Normal 2 2 2 26 2 3 2 2 4" xfId="5116"/>
    <cellStyle name="Normal 2 2 2 26 2 3 2 2 5" xfId="5117"/>
    <cellStyle name="Normal 2 2 2 26 2 3 2 2 6" xfId="5118"/>
    <cellStyle name="Normal 2 2 2 26 2 3 2 2 7" xfId="5119"/>
    <cellStyle name="Normal 2 2 2 26 2 3 2 2 8" xfId="5120"/>
    <cellStyle name="Normal 2 2 2 26 2 3 2 2 9" xfId="5121"/>
    <cellStyle name="Normal 2 2 2 26 2 3 2 3" xfId="5122"/>
    <cellStyle name="Normal 2 2 2 26 2 3 2 3 2" xfId="5123"/>
    <cellStyle name="Normal 2 2 2 26 2 3 2 4" xfId="5124"/>
    <cellStyle name="Normal 2 2 2 26 2 3 2 5" xfId="5125"/>
    <cellStyle name="Normal 2 2 2 26 2 3 2 6" xfId="5126"/>
    <cellStyle name="Normal 2 2 2 26 2 3 2 7" xfId="5127"/>
    <cellStyle name="Normal 2 2 2 26 2 3 2 8" xfId="5128"/>
    <cellStyle name="Normal 2 2 2 26 2 3 2 9" xfId="5129"/>
    <cellStyle name="Normal 2 2 2 26 2 3 3" xfId="5130"/>
    <cellStyle name="Normal 2 2 2 26 2 3 3 2" xfId="5131"/>
    <cellStyle name="Normal 2 2 2 26 2 3 4" xfId="5132"/>
    <cellStyle name="Normal 2 2 2 26 2 3 5" xfId="5133"/>
    <cellStyle name="Normal 2 2 2 26 2 3 6" xfId="5134"/>
    <cellStyle name="Normal 2 2 2 26 2 3 7" xfId="5135"/>
    <cellStyle name="Normal 2 2 2 26 2 3 8" xfId="5136"/>
    <cellStyle name="Normal 2 2 2 26 2 3 9" xfId="5137"/>
    <cellStyle name="Normal 2 2 2 26 2 4" xfId="5138"/>
    <cellStyle name="Normal 2 2 2 26 2 4 10" xfId="5139"/>
    <cellStyle name="Normal 2 2 2 26 2 4 11" xfId="5140"/>
    <cellStyle name="Normal 2 2 2 26 2 4 2" xfId="5141"/>
    <cellStyle name="Normal 2 2 2 26 2 4 2 2" xfId="5142"/>
    <cellStyle name="Normal 2 2 2 26 2 4 3" xfId="5143"/>
    <cellStyle name="Normal 2 2 2 26 2 4 4" xfId="5144"/>
    <cellStyle name="Normal 2 2 2 26 2 4 5" xfId="5145"/>
    <cellStyle name="Normal 2 2 2 26 2 4 6" xfId="5146"/>
    <cellStyle name="Normal 2 2 2 26 2 4 7" xfId="5147"/>
    <cellStyle name="Normal 2 2 2 26 2 4 8" xfId="5148"/>
    <cellStyle name="Normal 2 2 2 26 2 4 9" xfId="5149"/>
    <cellStyle name="Normal 2 2 2 26 2 5" xfId="5150"/>
    <cellStyle name="Normal 2 2 2 26 2 5 2" xfId="5151"/>
    <cellStyle name="Normal 2 2 2 26 2 6" xfId="5152"/>
    <cellStyle name="Normal 2 2 2 26 2 7" xfId="5153"/>
    <cellStyle name="Normal 2 2 2 26 2 8" xfId="5154"/>
    <cellStyle name="Normal 2 2 2 26 2 9" xfId="5155"/>
    <cellStyle name="Normal 2 2 2 26 3" xfId="5156"/>
    <cellStyle name="Normal 2 2 2 26 3 10" xfId="5157"/>
    <cellStyle name="Normal 2 2 2 26 3 11" xfId="5158"/>
    <cellStyle name="Normal 2 2 2 26 3 12" xfId="5159"/>
    <cellStyle name="Normal 2 2 2 26 3 2" xfId="5160"/>
    <cellStyle name="Normal 2 2 2 26 3 2 10" xfId="5161"/>
    <cellStyle name="Normal 2 2 2 26 3 2 11" xfId="5162"/>
    <cellStyle name="Normal 2 2 2 26 3 2 12" xfId="5163"/>
    <cellStyle name="Normal 2 2 2 26 3 2 2" xfId="5164"/>
    <cellStyle name="Normal 2 2 2 26 3 2 2 10" xfId="5165"/>
    <cellStyle name="Normal 2 2 2 26 3 2 2 11" xfId="5166"/>
    <cellStyle name="Normal 2 2 2 26 3 2 2 2" xfId="5167"/>
    <cellStyle name="Normal 2 2 2 26 3 2 2 2 10" xfId="5168"/>
    <cellStyle name="Normal 2 2 2 26 3 2 2 2 11" xfId="5169"/>
    <cellStyle name="Normal 2 2 2 26 3 2 2 2 2" xfId="5170"/>
    <cellStyle name="Normal 2 2 2 26 3 2 2 2 2 2" xfId="5171"/>
    <cellStyle name="Normal 2 2 2 26 3 2 2 2 3" xfId="5172"/>
    <cellStyle name="Normal 2 2 2 26 3 2 2 2 4" xfId="5173"/>
    <cellStyle name="Normal 2 2 2 26 3 2 2 2 5" xfId="5174"/>
    <cellStyle name="Normal 2 2 2 26 3 2 2 2 6" xfId="5175"/>
    <cellStyle name="Normal 2 2 2 26 3 2 2 2 7" xfId="5176"/>
    <cellStyle name="Normal 2 2 2 26 3 2 2 2 8" xfId="5177"/>
    <cellStyle name="Normal 2 2 2 26 3 2 2 2 9" xfId="5178"/>
    <cellStyle name="Normal 2 2 2 26 3 2 2 3" xfId="5179"/>
    <cellStyle name="Normal 2 2 2 26 3 2 2 3 2" xfId="5180"/>
    <cellStyle name="Normal 2 2 2 26 3 2 2 4" xfId="5181"/>
    <cellStyle name="Normal 2 2 2 26 3 2 2 5" xfId="5182"/>
    <cellStyle name="Normal 2 2 2 26 3 2 2 6" xfId="5183"/>
    <cellStyle name="Normal 2 2 2 26 3 2 2 7" xfId="5184"/>
    <cellStyle name="Normal 2 2 2 26 3 2 2 8" xfId="5185"/>
    <cellStyle name="Normal 2 2 2 26 3 2 2 9" xfId="5186"/>
    <cellStyle name="Normal 2 2 2 26 3 2 3" xfId="5187"/>
    <cellStyle name="Normal 2 2 2 26 3 2 3 2" xfId="5188"/>
    <cellStyle name="Normal 2 2 2 26 3 2 4" xfId="5189"/>
    <cellStyle name="Normal 2 2 2 26 3 2 5" xfId="5190"/>
    <cellStyle name="Normal 2 2 2 26 3 2 6" xfId="5191"/>
    <cellStyle name="Normal 2 2 2 26 3 2 7" xfId="5192"/>
    <cellStyle name="Normal 2 2 2 26 3 2 8" xfId="5193"/>
    <cellStyle name="Normal 2 2 2 26 3 2 9" xfId="5194"/>
    <cellStyle name="Normal 2 2 2 26 3 3" xfId="5195"/>
    <cellStyle name="Normal 2 2 2 26 3 3 10" xfId="5196"/>
    <cellStyle name="Normal 2 2 2 26 3 3 11" xfId="5197"/>
    <cellStyle name="Normal 2 2 2 26 3 3 2" xfId="5198"/>
    <cellStyle name="Normal 2 2 2 26 3 3 2 2" xfId="5199"/>
    <cellStyle name="Normal 2 2 2 26 3 3 3" xfId="5200"/>
    <cellStyle name="Normal 2 2 2 26 3 3 4" xfId="5201"/>
    <cellStyle name="Normal 2 2 2 26 3 3 5" xfId="5202"/>
    <cellStyle name="Normal 2 2 2 26 3 3 6" xfId="5203"/>
    <cellStyle name="Normal 2 2 2 26 3 3 7" xfId="5204"/>
    <cellStyle name="Normal 2 2 2 26 3 3 8" xfId="5205"/>
    <cellStyle name="Normal 2 2 2 26 3 3 9" xfId="5206"/>
    <cellStyle name="Normal 2 2 2 26 3 4" xfId="5207"/>
    <cellStyle name="Normal 2 2 2 26 3 4 2" xfId="5208"/>
    <cellStyle name="Normal 2 2 2 26 3 5" xfId="5209"/>
    <cellStyle name="Normal 2 2 2 26 3 6" xfId="5210"/>
    <cellStyle name="Normal 2 2 2 26 3 7" xfId="5211"/>
    <cellStyle name="Normal 2 2 2 26 3 8" xfId="5212"/>
    <cellStyle name="Normal 2 2 2 26 3 9" xfId="5213"/>
    <cellStyle name="Normal 2 2 2 26 4" xfId="5214"/>
    <cellStyle name="Normal 2 2 2 26 4 10" xfId="5215"/>
    <cellStyle name="Normal 2 2 2 26 4 11" xfId="5216"/>
    <cellStyle name="Normal 2 2 2 26 4 2" xfId="5217"/>
    <cellStyle name="Normal 2 2 2 26 4 2 10" xfId="5218"/>
    <cellStyle name="Normal 2 2 2 26 4 2 11" xfId="5219"/>
    <cellStyle name="Normal 2 2 2 26 4 2 2" xfId="5220"/>
    <cellStyle name="Normal 2 2 2 26 4 2 2 2" xfId="5221"/>
    <cellStyle name="Normal 2 2 2 26 4 2 3" xfId="5222"/>
    <cellStyle name="Normal 2 2 2 26 4 2 4" xfId="5223"/>
    <cellStyle name="Normal 2 2 2 26 4 2 5" xfId="5224"/>
    <cellStyle name="Normal 2 2 2 26 4 2 6" xfId="5225"/>
    <cellStyle name="Normal 2 2 2 26 4 2 7" xfId="5226"/>
    <cellStyle name="Normal 2 2 2 26 4 2 8" xfId="5227"/>
    <cellStyle name="Normal 2 2 2 26 4 2 9" xfId="5228"/>
    <cellStyle name="Normal 2 2 2 26 4 3" xfId="5229"/>
    <cellStyle name="Normal 2 2 2 26 4 3 2" xfId="5230"/>
    <cellStyle name="Normal 2 2 2 26 4 4" xfId="5231"/>
    <cellStyle name="Normal 2 2 2 26 4 5" xfId="5232"/>
    <cellStyle name="Normal 2 2 2 26 4 6" xfId="5233"/>
    <cellStyle name="Normal 2 2 2 26 4 7" xfId="5234"/>
    <cellStyle name="Normal 2 2 2 26 4 8" xfId="5235"/>
    <cellStyle name="Normal 2 2 2 26 4 9" xfId="5236"/>
    <cellStyle name="Normal 2 2 2 26 5" xfId="5237"/>
    <cellStyle name="Normal 2 2 2 26 5 2" xfId="5238"/>
    <cellStyle name="Normal 2 2 2 26 6" xfId="5239"/>
    <cellStyle name="Normal 2 2 2 26 7" xfId="5240"/>
    <cellStyle name="Normal 2 2 2 26 8" xfId="5241"/>
    <cellStyle name="Normal 2 2 2 26 9" xfId="5242"/>
    <cellStyle name="Normal 2 2 2 27" xfId="5243"/>
    <cellStyle name="Normal 2 2 2 27 10" xfId="5244"/>
    <cellStyle name="Normal 2 2 2 27 11" xfId="5245"/>
    <cellStyle name="Normal 2 2 2 27 12" xfId="5246"/>
    <cellStyle name="Normal 2 2 2 27 13" xfId="5247"/>
    <cellStyle name="Normal 2 2 2 27 2" xfId="5248"/>
    <cellStyle name="Normal 2 2 2 27 2 10" xfId="5249"/>
    <cellStyle name="Normal 2 2 2 27 2 11" xfId="5250"/>
    <cellStyle name="Normal 2 2 2 27 2 12" xfId="5251"/>
    <cellStyle name="Normal 2 2 2 27 2 2" xfId="5252"/>
    <cellStyle name="Normal 2 2 2 27 2 2 10" xfId="5253"/>
    <cellStyle name="Normal 2 2 2 27 2 2 11" xfId="5254"/>
    <cellStyle name="Normal 2 2 2 27 2 2 12" xfId="5255"/>
    <cellStyle name="Normal 2 2 2 27 2 2 2" xfId="5256"/>
    <cellStyle name="Normal 2 2 2 27 2 2 2 10" xfId="5257"/>
    <cellStyle name="Normal 2 2 2 27 2 2 2 11" xfId="5258"/>
    <cellStyle name="Normal 2 2 2 27 2 2 2 2" xfId="5259"/>
    <cellStyle name="Normal 2 2 2 27 2 2 2 2 10" xfId="5260"/>
    <cellStyle name="Normal 2 2 2 27 2 2 2 2 11" xfId="5261"/>
    <cellStyle name="Normal 2 2 2 27 2 2 2 2 2" xfId="5262"/>
    <cellStyle name="Normal 2 2 2 27 2 2 2 2 2 2" xfId="5263"/>
    <cellStyle name="Normal 2 2 2 27 2 2 2 2 3" xfId="5264"/>
    <cellStyle name="Normal 2 2 2 27 2 2 2 2 4" xfId="5265"/>
    <cellStyle name="Normal 2 2 2 27 2 2 2 2 5" xfId="5266"/>
    <cellStyle name="Normal 2 2 2 27 2 2 2 2 6" xfId="5267"/>
    <cellStyle name="Normal 2 2 2 27 2 2 2 2 7" xfId="5268"/>
    <cellStyle name="Normal 2 2 2 27 2 2 2 2 8" xfId="5269"/>
    <cellStyle name="Normal 2 2 2 27 2 2 2 2 9" xfId="5270"/>
    <cellStyle name="Normal 2 2 2 27 2 2 2 3" xfId="5271"/>
    <cellStyle name="Normal 2 2 2 27 2 2 2 3 2" xfId="5272"/>
    <cellStyle name="Normal 2 2 2 27 2 2 2 4" xfId="5273"/>
    <cellStyle name="Normal 2 2 2 27 2 2 2 5" xfId="5274"/>
    <cellStyle name="Normal 2 2 2 27 2 2 2 6" xfId="5275"/>
    <cellStyle name="Normal 2 2 2 27 2 2 2 7" xfId="5276"/>
    <cellStyle name="Normal 2 2 2 27 2 2 2 8" xfId="5277"/>
    <cellStyle name="Normal 2 2 2 27 2 2 2 9" xfId="5278"/>
    <cellStyle name="Normal 2 2 2 27 2 2 3" xfId="5279"/>
    <cellStyle name="Normal 2 2 2 27 2 2 3 2" xfId="5280"/>
    <cellStyle name="Normal 2 2 2 27 2 2 4" xfId="5281"/>
    <cellStyle name="Normal 2 2 2 27 2 2 5" xfId="5282"/>
    <cellStyle name="Normal 2 2 2 27 2 2 6" xfId="5283"/>
    <cellStyle name="Normal 2 2 2 27 2 2 7" xfId="5284"/>
    <cellStyle name="Normal 2 2 2 27 2 2 8" xfId="5285"/>
    <cellStyle name="Normal 2 2 2 27 2 2 9" xfId="5286"/>
    <cellStyle name="Normal 2 2 2 27 2 3" xfId="5287"/>
    <cellStyle name="Normal 2 2 2 27 2 3 10" xfId="5288"/>
    <cellStyle name="Normal 2 2 2 27 2 3 11" xfId="5289"/>
    <cellStyle name="Normal 2 2 2 27 2 3 2" xfId="5290"/>
    <cellStyle name="Normal 2 2 2 27 2 3 2 2" xfId="5291"/>
    <cellStyle name="Normal 2 2 2 27 2 3 3" xfId="5292"/>
    <cellStyle name="Normal 2 2 2 27 2 3 4" xfId="5293"/>
    <cellStyle name="Normal 2 2 2 27 2 3 5" xfId="5294"/>
    <cellStyle name="Normal 2 2 2 27 2 3 6" xfId="5295"/>
    <cellStyle name="Normal 2 2 2 27 2 3 7" xfId="5296"/>
    <cellStyle name="Normal 2 2 2 27 2 3 8" xfId="5297"/>
    <cellStyle name="Normal 2 2 2 27 2 3 9" xfId="5298"/>
    <cellStyle name="Normal 2 2 2 27 2 4" xfId="5299"/>
    <cellStyle name="Normal 2 2 2 27 2 4 2" xfId="5300"/>
    <cellStyle name="Normal 2 2 2 27 2 5" xfId="5301"/>
    <cellStyle name="Normal 2 2 2 27 2 6" xfId="5302"/>
    <cellStyle name="Normal 2 2 2 27 2 7" xfId="5303"/>
    <cellStyle name="Normal 2 2 2 27 2 8" xfId="5304"/>
    <cellStyle name="Normal 2 2 2 27 2 9" xfId="5305"/>
    <cellStyle name="Normal 2 2 2 27 3" xfId="5306"/>
    <cellStyle name="Normal 2 2 2 27 3 10" xfId="5307"/>
    <cellStyle name="Normal 2 2 2 27 3 11" xfId="5308"/>
    <cellStyle name="Normal 2 2 2 27 3 2" xfId="5309"/>
    <cellStyle name="Normal 2 2 2 27 3 2 10" xfId="5310"/>
    <cellStyle name="Normal 2 2 2 27 3 2 11" xfId="5311"/>
    <cellStyle name="Normal 2 2 2 27 3 2 2" xfId="5312"/>
    <cellStyle name="Normal 2 2 2 27 3 2 2 2" xfId="5313"/>
    <cellStyle name="Normal 2 2 2 27 3 2 3" xfId="5314"/>
    <cellStyle name="Normal 2 2 2 27 3 2 4" xfId="5315"/>
    <cellStyle name="Normal 2 2 2 27 3 2 5" xfId="5316"/>
    <cellStyle name="Normal 2 2 2 27 3 2 6" xfId="5317"/>
    <cellStyle name="Normal 2 2 2 27 3 2 7" xfId="5318"/>
    <cellStyle name="Normal 2 2 2 27 3 2 8" xfId="5319"/>
    <cellStyle name="Normal 2 2 2 27 3 2 9" xfId="5320"/>
    <cellStyle name="Normal 2 2 2 27 3 3" xfId="5321"/>
    <cellStyle name="Normal 2 2 2 27 3 3 2" xfId="5322"/>
    <cellStyle name="Normal 2 2 2 27 3 4" xfId="5323"/>
    <cellStyle name="Normal 2 2 2 27 3 5" xfId="5324"/>
    <cellStyle name="Normal 2 2 2 27 3 6" xfId="5325"/>
    <cellStyle name="Normal 2 2 2 27 3 7" xfId="5326"/>
    <cellStyle name="Normal 2 2 2 27 3 8" xfId="5327"/>
    <cellStyle name="Normal 2 2 2 27 3 9" xfId="5328"/>
    <cellStyle name="Normal 2 2 2 27 4" xfId="5329"/>
    <cellStyle name="Normal 2 2 2 27 4 2" xfId="5330"/>
    <cellStyle name="Normal 2 2 2 27 5" xfId="5331"/>
    <cellStyle name="Normal 2 2 2 27 6" xfId="5332"/>
    <cellStyle name="Normal 2 2 2 27 7" xfId="5333"/>
    <cellStyle name="Normal 2 2 2 27 8" xfId="5334"/>
    <cellStyle name="Normal 2 2 2 27 9" xfId="5335"/>
    <cellStyle name="Normal 2 2 2 28" xfId="5336"/>
    <cellStyle name="Normal 2 2 2 28 10" xfId="5337"/>
    <cellStyle name="Normal 2 2 2 28 11" xfId="5338"/>
    <cellStyle name="Normal 2 2 2 28 12" xfId="5339"/>
    <cellStyle name="Normal 2 2 2 28 2" xfId="5340"/>
    <cellStyle name="Normal 2 2 2 28 2 10" xfId="5341"/>
    <cellStyle name="Normal 2 2 2 28 2 11" xfId="5342"/>
    <cellStyle name="Normal 2 2 2 28 2 2" xfId="5343"/>
    <cellStyle name="Normal 2 2 2 28 2 2 10" xfId="5344"/>
    <cellStyle name="Normal 2 2 2 28 2 2 11" xfId="5345"/>
    <cellStyle name="Normal 2 2 2 28 2 2 2" xfId="5346"/>
    <cellStyle name="Normal 2 2 2 28 2 2 2 2" xfId="5347"/>
    <cellStyle name="Normal 2 2 2 28 2 2 3" xfId="5348"/>
    <cellStyle name="Normal 2 2 2 28 2 2 4" xfId="5349"/>
    <cellStyle name="Normal 2 2 2 28 2 2 5" xfId="5350"/>
    <cellStyle name="Normal 2 2 2 28 2 2 6" xfId="5351"/>
    <cellStyle name="Normal 2 2 2 28 2 2 7" xfId="5352"/>
    <cellStyle name="Normal 2 2 2 28 2 2 8" xfId="5353"/>
    <cellStyle name="Normal 2 2 2 28 2 2 9" xfId="5354"/>
    <cellStyle name="Normal 2 2 2 28 2 3" xfId="5355"/>
    <cellStyle name="Normal 2 2 2 28 2 3 2" xfId="5356"/>
    <cellStyle name="Normal 2 2 2 28 2 4" xfId="5357"/>
    <cellStyle name="Normal 2 2 2 28 2 5" xfId="5358"/>
    <cellStyle name="Normal 2 2 2 28 2 6" xfId="5359"/>
    <cellStyle name="Normal 2 2 2 28 2 7" xfId="5360"/>
    <cellStyle name="Normal 2 2 2 28 2 8" xfId="5361"/>
    <cellStyle name="Normal 2 2 2 28 2 9" xfId="5362"/>
    <cellStyle name="Normal 2 2 2 28 3" xfId="5363"/>
    <cellStyle name="Normal 2 2 2 28 3 2" xfId="5364"/>
    <cellStyle name="Normal 2 2 2 28 4" xfId="5365"/>
    <cellStyle name="Normal 2 2 2 28 5" xfId="5366"/>
    <cellStyle name="Normal 2 2 2 28 6" xfId="5367"/>
    <cellStyle name="Normal 2 2 2 28 7" xfId="5368"/>
    <cellStyle name="Normal 2 2 2 28 8" xfId="5369"/>
    <cellStyle name="Normal 2 2 2 28 9" xfId="5370"/>
    <cellStyle name="Normal 2 2 2 29" xfId="5371"/>
    <cellStyle name="Normal 2 2 2 29 10" xfId="5372"/>
    <cellStyle name="Normal 2 2 2 29 11" xfId="5373"/>
    <cellStyle name="Normal 2 2 2 29 2" xfId="5374"/>
    <cellStyle name="Normal 2 2 2 29 2 2" xfId="5375"/>
    <cellStyle name="Normal 2 2 2 29 3" xfId="5376"/>
    <cellStyle name="Normal 2 2 2 29 4" xfId="5377"/>
    <cellStyle name="Normal 2 2 2 29 5" xfId="5378"/>
    <cellStyle name="Normal 2 2 2 29 6" xfId="5379"/>
    <cellStyle name="Normal 2 2 2 29 7" xfId="5380"/>
    <cellStyle name="Normal 2 2 2 29 8" xfId="5381"/>
    <cellStyle name="Normal 2 2 2 29 9" xfId="5382"/>
    <cellStyle name="Normal 2 2 2 3" xfId="5383"/>
    <cellStyle name="Normal 2 2 2 30" xfId="5384"/>
    <cellStyle name="Normal 2 2 2 30 2" xfId="5385"/>
    <cellStyle name="Normal 2 2 2 31" xfId="5386"/>
    <cellStyle name="Normal 2 2 2 32" xfId="5387"/>
    <cellStyle name="Normal 2 2 2 33" xfId="5388"/>
    <cellStyle name="Normal 2 2 2 34" xfId="5389"/>
    <cellStyle name="Normal 2 2 2 35" xfId="5390"/>
    <cellStyle name="Normal 2 2 2 36" xfId="5391"/>
    <cellStyle name="Normal 2 2 2 37" xfId="5392"/>
    <cellStyle name="Normal 2 2 2 38" xfId="5393"/>
    <cellStyle name="Normal 2 2 2 39" xfId="5394"/>
    <cellStyle name="Normal 2 2 2 39 2" xfId="5395"/>
    <cellStyle name="Normal 2 2 2 4" xfId="5396"/>
    <cellStyle name="Normal 2 2 2 40" xfId="5397"/>
    <cellStyle name="Normal 2 2 2 41" xfId="5398"/>
    <cellStyle name="Normal 2 2 2 42" xfId="5399"/>
    <cellStyle name="Normal 2 2 2 43" xfId="5400"/>
    <cellStyle name="Normal 2 2 2 44" xfId="5401"/>
    <cellStyle name="Normal 2 2 2 45" xfId="5402"/>
    <cellStyle name="Normal 2 2 2 46" xfId="5403"/>
    <cellStyle name="Normal 2 2 2 47" xfId="5404"/>
    <cellStyle name="Normal 2 2 2 48" xfId="5405"/>
    <cellStyle name="Normal 2 2 2 49" xfId="5406"/>
    <cellStyle name="Normal 2 2 2 5" xfId="5407"/>
    <cellStyle name="Normal 2 2 2 50" xfId="5408"/>
    <cellStyle name="Normal 2 2 2 51" xfId="5409"/>
    <cellStyle name="Normal 2 2 2 52" xfId="5410"/>
    <cellStyle name="Normal 2 2 2 53" xfId="5411"/>
    <cellStyle name="Normal 2 2 2 54" xfId="5412"/>
    <cellStyle name="Normal 2 2 2 55" xfId="5413"/>
    <cellStyle name="Normal 2 2 2 55 2" xfId="5414"/>
    <cellStyle name="Normal 2 2 2 56" xfId="5415"/>
    <cellStyle name="Normal 2 2 2 57" xfId="5416"/>
    <cellStyle name="Normal 2 2 2 58" xfId="5417"/>
    <cellStyle name="Normal 2 2 2 6" xfId="5418"/>
    <cellStyle name="Normal 2 2 2 6 2" xfId="5419"/>
    <cellStyle name="Normal 2 2 2 6 2 2" xfId="5420"/>
    <cellStyle name="Normal 2 2 2 7" xfId="5421"/>
    <cellStyle name="Normal 2 2 2 7 2" xfId="5422"/>
    <cellStyle name="Normal 2 2 2 8" xfId="5423"/>
    <cellStyle name="Normal 2 2 2 9" xfId="5424"/>
    <cellStyle name="Normal 2 2 20" xfId="5425"/>
    <cellStyle name="Normal 2 2 21" xfId="5426"/>
    <cellStyle name="Normal 2 2 22" xfId="5427"/>
    <cellStyle name="Normal 2 2 23" xfId="5428"/>
    <cellStyle name="Normal 2 2 24" xfId="5429"/>
    <cellStyle name="Normal 2 2 25" xfId="5430"/>
    <cellStyle name="Normal 2 2 26" xfId="5431"/>
    <cellStyle name="Normal 2 2 26 10" xfId="5432"/>
    <cellStyle name="Normal 2 2 26 11" xfId="5433"/>
    <cellStyle name="Normal 2 2 26 12" xfId="5434"/>
    <cellStyle name="Normal 2 2 26 13" xfId="5435"/>
    <cellStyle name="Normal 2 2 26 14" xfId="5436"/>
    <cellStyle name="Normal 2 2 26 15" xfId="5437"/>
    <cellStyle name="Normal 2 2 26 2" xfId="5438"/>
    <cellStyle name="Normal 2 2 26 2 10" xfId="5439"/>
    <cellStyle name="Normal 2 2 26 2 11" xfId="5440"/>
    <cellStyle name="Normal 2 2 26 2 12" xfId="5441"/>
    <cellStyle name="Normal 2 2 26 2 13" xfId="5442"/>
    <cellStyle name="Normal 2 2 26 2 14" xfId="5443"/>
    <cellStyle name="Normal 2 2 26 2 2" xfId="5444"/>
    <cellStyle name="Normal 2 2 26 2 2 10" xfId="5445"/>
    <cellStyle name="Normal 2 2 26 2 2 11" xfId="5446"/>
    <cellStyle name="Normal 2 2 26 2 2 12" xfId="5447"/>
    <cellStyle name="Normal 2 2 26 2 2 13" xfId="5448"/>
    <cellStyle name="Normal 2 2 26 2 2 14" xfId="5449"/>
    <cellStyle name="Normal 2 2 26 2 2 2" xfId="5450"/>
    <cellStyle name="Normal 2 2 26 2 2 2 10" xfId="5451"/>
    <cellStyle name="Normal 2 2 26 2 2 2 11" xfId="5452"/>
    <cellStyle name="Normal 2 2 26 2 2 2 12" xfId="5453"/>
    <cellStyle name="Normal 2 2 26 2 2 2 13" xfId="5454"/>
    <cellStyle name="Normal 2 2 26 2 2 2 2" xfId="5455"/>
    <cellStyle name="Normal 2 2 26 2 2 2 2 10" xfId="5456"/>
    <cellStyle name="Normal 2 2 26 2 2 2 2 11" xfId="5457"/>
    <cellStyle name="Normal 2 2 26 2 2 2 2 12" xfId="5458"/>
    <cellStyle name="Normal 2 2 26 2 2 2 2 13" xfId="5459"/>
    <cellStyle name="Normal 2 2 26 2 2 2 2 2" xfId="5460"/>
    <cellStyle name="Normal 2 2 26 2 2 2 2 2 10" xfId="5461"/>
    <cellStyle name="Normal 2 2 26 2 2 2 2 2 11" xfId="5462"/>
    <cellStyle name="Normal 2 2 26 2 2 2 2 2 12" xfId="5463"/>
    <cellStyle name="Normal 2 2 26 2 2 2 2 2 2" xfId="5464"/>
    <cellStyle name="Normal 2 2 26 2 2 2 2 2 2 10" xfId="5465"/>
    <cellStyle name="Normal 2 2 26 2 2 2 2 2 2 11" xfId="5466"/>
    <cellStyle name="Normal 2 2 26 2 2 2 2 2 2 12" xfId="5467"/>
    <cellStyle name="Normal 2 2 26 2 2 2 2 2 2 2" xfId="5468"/>
    <cellStyle name="Normal 2 2 26 2 2 2 2 2 2 2 10" xfId="5469"/>
    <cellStyle name="Normal 2 2 26 2 2 2 2 2 2 2 11" xfId="5470"/>
    <cellStyle name="Normal 2 2 26 2 2 2 2 2 2 2 2" xfId="5471"/>
    <cellStyle name="Normal 2 2 26 2 2 2 2 2 2 2 2 10" xfId="5472"/>
    <cellStyle name="Normal 2 2 26 2 2 2 2 2 2 2 2 11" xfId="5473"/>
    <cellStyle name="Normal 2 2 26 2 2 2 2 2 2 2 2 2" xfId="5474"/>
    <cellStyle name="Normal 2 2 26 2 2 2 2 2 2 2 2 2 2" xfId="5475"/>
    <cellStyle name="Normal 2 2 26 2 2 2 2 2 2 2 2 3" xfId="5476"/>
    <cellStyle name="Normal 2 2 26 2 2 2 2 2 2 2 2 4" xfId="5477"/>
    <cellStyle name="Normal 2 2 26 2 2 2 2 2 2 2 2 5" xfId="5478"/>
    <cellStyle name="Normal 2 2 26 2 2 2 2 2 2 2 2 6" xfId="5479"/>
    <cellStyle name="Normal 2 2 26 2 2 2 2 2 2 2 2 7" xfId="5480"/>
    <cellStyle name="Normal 2 2 26 2 2 2 2 2 2 2 2 8" xfId="5481"/>
    <cellStyle name="Normal 2 2 26 2 2 2 2 2 2 2 2 9" xfId="5482"/>
    <cellStyle name="Normal 2 2 26 2 2 2 2 2 2 2 3" xfId="5483"/>
    <cellStyle name="Normal 2 2 26 2 2 2 2 2 2 2 3 2" xfId="5484"/>
    <cellStyle name="Normal 2 2 26 2 2 2 2 2 2 2 4" xfId="5485"/>
    <cellStyle name="Normal 2 2 26 2 2 2 2 2 2 2 5" xfId="5486"/>
    <cellStyle name="Normal 2 2 26 2 2 2 2 2 2 2 6" xfId="5487"/>
    <cellStyle name="Normal 2 2 26 2 2 2 2 2 2 2 7" xfId="5488"/>
    <cellStyle name="Normal 2 2 26 2 2 2 2 2 2 2 8" xfId="5489"/>
    <cellStyle name="Normal 2 2 26 2 2 2 2 2 2 2 9" xfId="5490"/>
    <cellStyle name="Normal 2 2 26 2 2 2 2 2 2 3" xfId="5491"/>
    <cellStyle name="Normal 2 2 26 2 2 2 2 2 2 3 2" xfId="5492"/>
    <cellStyle name="Normal 2 2 26 2 2 2 2 2 2 4" xfId="5493"/>
    <cellStyle name="Normal 2 2 26 2 2 2 2 2 2 5" xfId="5494"/>
    <cellStyle name="Normal 2 2 26 2 2 2 2 2 2 6" xfId="5495"/>
    <cellStyle name="Normal 2 2 26 2 2 2 2 2 2 7" xfId="5496"/>
    <cellStyle name="Normal 2 2 26 2 2 2 2 2 2 8" xfId="5497"/>
    <cellStyle name="Normal 2 2 26 2 2 2 2 2 2 9" xfId="5498"/>
    <cellStyle name="Normal 2 2 26 2 2 2 2 2 3" xfId="5499"/>
    <cellStyle name="Normal 2 2 26 2 2 2 2 2 3 10" xfId="5500"/>
    <cellStyle name="Normal 2 2 26 2 2 2 2 2 3 11" xfId="5501"/>
    <cellStyle name="Normal 2 2 26 2 2 2 2 2 3 2" xfId="5502"/>
    <cellStyle name="Normal 2 2 26 2 2 2 2 2 3 2 2" xfId="5503"/>
    <cellStyle name="Normal 2 2 26 2 2 2 2 2 3 3" xfId="5504"/>
    <cellStyle name="Normal 2 2 26 2 2 2 2 2 3 4" xfId="5505"/>
    <cellStyle name="Normal 2 2 26 2 2 2 2 2 3 5" xfId="5506"/>
    <cellStyle name="Normal 2 2 26 2 2 2 2 2 3 6" xfId="5507"/>
    <cellStyle name="Normal 2 2 26 2 2 2 2 2 3 7" xfId="5508"/>
    <cellStyle name="Normal 2 2 26 2 2 2 2 2 3 8" xfId="5509"/>
    <cellStyle name="Normal 2 2 26 2 2 2 2 2 3 9" xfId="5510"/>
    <cellStyle name="Normal 2 2 26 2 2 2 2 2 4" xfId="5511"/>
    <cellStyle name="Normal 2 2 26 2 2 2 2 2 4 2" xfId="5512"/>
    <cellStyle name="Normal 2 2 26 2 2 2 2 2 5" xfId="5513"/>
    <cellStyle name="Normal 2 2 26 2 2 2 2 2 6" xfId="5514"/>
    <cellStyle name="Normal 2 2 26 2 2 2 2 2 7" xfId="5515"/>
    <cellStyle name="Normal 2 2 26 2 2 2 2 2 8" xfId="5516"/>
    <cellStyle name="Normal 2 2 26 2 2 2 2 2 9" xfId="5517"/>
    <cellStyle name="Normal 2 2 26 2 2 2 2 3" xfId="5518"/>
    <cellStyle name="Normal 2 2 26 2 2 2 2 3 10" xfId="5519"/>
    <cellStyle name="Normal 2 2 26 2 2 2 2 3 11" xfId="5520"/>
    <cellStyle name="Normal 2 2 26 2 2 2 2 3 2" xfId="5521"/>
    <cellStyle name="Normal 2 2 26 2 2 2 2 3 2 10" xfId="5522"/>
    <cellStyle name="Normal 2 2 26 2 2 2 2 3 2 11" xfId="5523"/>
    <cellStyle name="Normal 2 2 26 2 2 2 2 3 2 2" xfId="5524"/>
    <cellStyle name="Normal 2 2 26 2 2 2 2 3 2 2 2" xfId="5525"/>
    <cellStyle name="Normal 2 2 26 2 2 2 2 3 2 3" xfId="5526"/>
    <cellStyle name="Normal 2 2 26 2 2 2 2 3 2 4" xfId="5527"/>
    <cellStyle name="Normal 2 2 26 2 2 2 2 3 2 5" xfId="5528"/>
    <cellStyle name="Normal 2 2 26 2 2 2 2 3 2 6" xfId="5529"/>
    <cellStyle name="Normal 2 2 26 2 2 2 2 3 2 7" xfId="5530"/>
    <cellStyle name="Normal 2 2 26 2 2 2 2 3 2 8" xfId="5531"/>
    <cellStyle name="Normal 2 2 26 2 2 2 2 3 2 9" xfId="5532"/>
    <cellStyle name="Normal 2 2 26 2 2 2 2 3 3" xfId="5533"/>
    <cellStyle name="Normal 2 2 26 2 2 2 2 3 3 2" xfId="5534"/>
    <cellStyle name="Normal 2 2 26 2 2 2 2 3 4" xfId="5535"/>
    <cellStyle name="Normal 2 2 26 2 2 2 2 3 5" xfId="5536"/>
    <cellStyle name="Normal 2 2 26 2 2 2 2 3 6" xfId="5537"/>
    <cellStyle name="Normal 2 2 26 2 2 2 2 3 7" xfId="5538"/>
    <cellStyle name="Normal 2 2 26 2 2 2 2 3 8" xfId="5539"/>
    <cellStyle name="Normal 2 2 26 2 2 2 2 3 9" xfId="5540"/>
    <cellStyle name="Normal 2 2 26 2 2 2 2 4" xfId="5541"/>
    <cellStyle name="Normal 2 2 26 2 2 2 2 4 2" xfId="5542"/>
    <cellStyle name="Normal 2 2 26 2 2 2 2 5" xfId="5543"/>
    <cellStyle name="Normal 2 2 26 2 2 2 2 6" xfId="5544"/>
    <cellStyle name="Normal 2 2 26 2 2 2 2 7" xfId="5545"/>
    <cellStyle name="Normal 2 2 26 2 2 2 2 8" xfId="5546"/>
    <cellStyle name="Normal 2 2 26 2 2 2 2 9" xfId="5547"/>
    <cellStyle name="Normal 2 2 26 2 2 2 3" xfId="5548"/>
    <cellStyle name="Normal 2 2 26 2 2 2 3 10" xfId="5549"/>
    <cellStyle name="Normal 2 2 26 2 2 2 3 11" xfId="5550"/>
    <cellStyle name="Normal 2 2 26 2 2 2 3 12" xfId="5551"/>
    <cellStyle name="Normal 2 2 26 2 2 2 3 2" xfId="5552"/>
    <cellStyle name="Normal 2 2 26 2 2 2 3 2 10" xfId="5553"/>
    <cellStyle name="Normal 2 2 26 2 2 2 3 2 11" xfId="5554"/>
    <cellStyle name="Normal 2 2 26 2 2 2 3 2 2" xfId="5555"/>
    <cellStyle name="Normal 2 2 26 2 2 2 3 2 2 10" xfId="5556"/>
    <cellStyle name="Normal 2 2 26 2 2 2 3 2 2 11" xfId="5557"/>
    <cellStyle name="Normal 2 2 26 2 2 2 3 2 2 2" xfId="5558"/>
    <cellStyle name="Normal 2 2 26 2 2 2 3 2 2 2 2" xfId="5559"/>
    <cellStyle name="Normal 2 2 26 2 2 2 3 2 2 3" xfId="5560"/>
    <cellStyle name="Normal 2 2 26 2 2 2 3 2 2 4" xfId="5561"/>
    <cellStyle name="Normal 2 2 26 2 2 2 3 2 2 5" xfId="5562"/>
    <cellStyle name="Normal 2 2 26 2 2 2 3 2 2 6" xfId="5563"/>
    <cellStyle name="Normal 2 2 26 2 2 2 3 2 2 7" xfId="5564"/>
    <cellStyle name="Normal 2 2 26 2 2 2 3 2 2 8" xfId="5565"/>
    <cellStyle name="Normal 2 2 26 2 2 2 3 2 2 9" xfId="5566"/>
    <cellStyle name="Normal 2 2 26 2 2 2 3 2 3" xfId="5567"/>
    <cellStyle name="Normal 2 2 26 2 2 2 3 2 3 2" xfId="5568"/>
    <cellStyle name="Normal 2 2 26 2 2 2 3 2 4" xfId="5569"/>
    <cellStyle name="Normal 2 2 26 2 2 2 3 2 5" xfId="5570"/>
    <cellStyle name="Normal 2 2 26 2 2 2 3 2 6" xfId="5571"/>
    <cellStyle name="Normal 2 2 26 2 2 2 3 2 7" xfId="5572"/>
    <cellStyle name="Normal 2 2 26 2 2 2 3 2 8" xfId="5573"/>
    <cellStyle name="Normal 2 2 26 2 2 2 3 2 9" xfId="5574"/>
    <cellStyle name="Normal 2 2 26 2 2 2 3 3" xfId="5575"/>
    <cellStyle name="Normal 2 2 26 2 2 2 3 3 2" xfId="5576"/>
    <cellStyle name="Normal 2 2 26 2 2 2 3 4" xfId="5577"/>
    <cellStyle name="Normal 2 2 26 2 2 2 3 5" xfId="5578"/>
    <cellStyle name="Normal 2 2 26 2 2 2 3 6" xfId="5579"/>
    <cellStyle name="Normal 2 2 26 2 2 2 3 7" xfId="5580"/>
    <cellStyle name="Normal 2 2 26 2 2 2 3 8" xfId="5581"/>
    <cellStyle name="Normal 2 2 26 2 2 2 3 9" xfId="5582"/>
    <cellStyle name="Normal 2 2 26 2 2 2 4" xfId="5583"/>
    <cellStyle name="Normal 2 2 26 2 2 2 4 10" xfId="5584"/>
    <cellStyle name="Normal 2 2 26 2 2 2 4 11" xfId="5585"/>
    <cellStyle name="Normal 2 2 26 2 2 2 4 2" xfId="5586"/>
    <cellStyle name="Normal 2 2 26 2 2 2 4 2 2" xfId="5587"/>
    <cellStyle name="Normal 2 2 26 2 2 2 4 3" xfId="5588"/>
    <cellStyle name="Normal 2 2 26 2 2 2 4 4" xfId="5589"/>
    <cellStyle name="Normal 2 2 26 2 2 2 4 5" xfId="5590"/>
    <cellStyle name="Normal 2 2 26 2 2 2 4 6" xfId="5591"/>
    <cellStyle name="Normal 2 2 26 2 2 2 4 7" xfId="5592"/>
    <cellStyle name="Normal 2 2 26 2 2 2 4 8" xfId="5593"/>
    <cellStyle name="Normal 2 2 26 2 2 2 4 9" xfId="5594"/>
    <cellStyle name="Normal 2 2 26 2 2 2 5" xfId="5595"/>
    <cellStyle name="Normal 2 2 26 2 2 2 5 2" xfId="5596"/>
    <cellStyle name="Normal 2 2 26 2 2 2 6" xfId="5597"/>
    <cellStyle name="Normal 2 2 26 2 2 2 7" xfId="5598"/>
    <cellStyle name="Normal 2 2 26 2 2 2 8" xfId="5599"/>
    <cellStyle name="Normal 2 2 26 2 2 2 9" xfId="5600"/>
    <cellStyle name="Normal 2 2 26 2 2 3" xfId="5601"/>
    <cellStyle name="Normal 2 2 26 2 2 3 10" xfId="5602"/>
    <cellStyle name="Normal 2 2 26 2 2 3 11" xfId="5603"/>
    <cellStyle name="Normal 2 2 26 2 2 3 12" xfId="5604"/>
    <cellStyle name="Normal 2 2 26 2 2 3 2" xfId="5605"/>
    <cellStyle name="Normal 2 2 26 2 2 3 2 10" xfId="5606"/>
    <cellStyle name="Normal 2 2 26 2 2 3 2 11" xfId="5607"/>
    <cellStyle name="Normal 2 2 26 2 2 3 2 12" xfId="5608"/>
    <cellStyle name="Normal 2 2 26 2 2 3 2 2" xfId="5609"/>
    <cellStyle name="Normal 2 2 26 2 2 3 2 2 10" xfId="5610"/>
    <cellStyle name="Normal 2 2 26 2 2 3 2 2 11" xfId="5611"/>
    <cellStyle name="Normal 2 2 26 2 2 3 2 2 2" xfId="5612"/>
    <cellStyle name="Normal 2 2 26 2 2 3 2 2 2 10" xfId="5613"/>
    <cellStyle name="Normal 2 2 26 2 2 3 2 2 2 11" xfId="5614"/>
    <cellStyle name="Normal 2 2 26 2 2 3 2 2 2 2" xfId="5615"/>
    <cellStyle name="Normal 2 2 26 2 2 3 2 2 2 2 2" xfId="5616"/>
    <cellStyle name="Normal 2 2 26 2 2 3 2 2 2 3" xfId="5617"/>
    <cellStyle name="Normal 2 2 26 2 2 3 2 2 2 4" xfId="5618"/>
    <cellStyle name="Normal 2 2 26 2 2 3 2 2 2 5" xfId="5619"/>
    <cellStyle name="Normal 2 2 26 2 2 3 2 2 2 6" xfId="5620"/>
    <cellStyle name="Normal 2 2 26 2 2 3 2 2 2 7" xfId="5621"/>
    <cellStyle name="Normal 2 2 26 2 2 3 2 2 2 8" xfId="5622"/>
    <cellStyle name="Normal 2 2 26 2 2 3 2 2 2 9" xfId="5623"/>
    <cellStyle name="Normal 2 2 26 2 2 3 2 2 3" xfId="5624"/>
    <cellStyle name="Normal 2 2 26 2 2 3 2 2 3 2" xfId="5625"/>
    <cellStyle name="Normal 2 2 26 2 2 3 2 2 4" xfId="5626"/>
    <cellStyle name="Normal 2 2 26 2 2 3 2 2 5" xfId="5627"/>
    <cellStyle name="Normal 2 2 26 2 2 3 2 2 6" xfId="5628"/>
    <cellStyle name="Normal 2 2 26 2 2 3 2 2 7" xfId="5629"/>
    <cellStyle name="Normal 2 2 26 2 2 3 2 2 8" xfId="5630"/>
    <cellStyle name="Normal 2 2 26 2 2 3 2 2 9" xfId="5631"/>
    <cellStyle name="Normal 2 2 26 2 2 3 2 3" xfId="5632"/>
    <cellStyle name="Normal 2 2 26 2 2 3 2 3 2" xfId="5633"/>
    <cellStyle name="Normal 2 2 26 2 2 3 2 4" xfId="5634"/>
    <cellStyle name="Normal 2 2 26 2 2 3 2 5" xfId="5635"/>
    <cellStyle name="Normal 2 2 26 2 2 3 2 6" xfId="5636"/>
    <cellStyle name="Normal 2 2 26 2 2 3 2 7" xfId="5637"/>
    <cellStyle name="Normal 2 2 26 2 2 3 2 8" xfId="5638"/>
    <cellStyle name="Normal 2 2 26 2 2 3 2 9" xfId="5639"/>
    <cellStyle name="Normal 2 2 26 2 2 3 3" xfId="5640"/>
    <cellStyle name="Normal 2 2 26 2 2 3 3 10" xfId="5641"/>
    <cellStyle name="Normal 2 2 26 2 2 3 3 11" xfId="5642"/>
    <cellStyle name="Normal 2 2 26 2 2 3 3 2" xfId="5643"/>
    <cellStyle name="Normal 2 2 26 2 2 3 3 2 2" xfId="5644"/>
    <cellStyle name="Normal 2 2 26 2 2 3 3 3" xfId="5645"/>
    <cellStyle name="Normal 2 2 26 2 2 3 3 4" xfId="5646"/>
    <cellStyle name="Normal 2 2 26 2 2 3 3 5" xfId="5647"/>
    <cellStyle name="Normal 2 2 26 2 2 3 3 6" xfId="5648"/>
    <cellStyle name="Normal 2 2 26 2 2 3 3 7" xfId="5649"/>
    <cellStyle name="Normal 2 2 26 2 2 3 3 8" xfId="5650"/>
    <cellStyle name="Normal 2 2 26 2 2 3 3 9" xfId="5651"/>
    <cellStyle name="Normal 2 2 26 2 2 3 4" xfId="5652"/>
    <cellStyle name="Normal 2 2 26 2 2 3 4 2" xfId="5653"/>
    <cellStyle name="Normal 2 2 26 2 2 3 5" xfId="5654"/>
    <cellStyle name="Normal 2 2 26 2 2 3 6" xfId="5655"/>
    <cellStyle name="Normal 2 2 26 2 2 3 7" xfId="5656"/>
    <cellStyle name="Normal 2 2 26 2 2 3 8" xfId="5657"/>
    <cellStyle name="Normal 2 2 26 2 2 3 9" xfId="5658"/>
    <cellStyle name="Normal 2 2 26 2 2 4" xfId="5659"/>
    <cellStyle name="Normal 2 2 26 2 2 4 10" xfId="5660"/>
    <cellStyle name="Normal 2 2 26 2 2 4 11" xfId="5661"/>
    <cellStyle name="Normal 2 2 26 2 2 4 2" xfId="5662"/>
    <cellStyle name="Normal 2 2 26 2 2 4 2 10" xfId="5663"/>
    <cellStyle name="Normal 2 2 26 2 2 4 2 11" xfId="5664"/>
    <cellStyle name="Normal 2 2 26 2 2 4 2 2" xfId="5665"/>
    <cellStyle name="Normal 2 2 26 2 2 4 2 2 2" xfId="5666"/>
    <cellStyle name="Normal 2 2 26 2 2 4 2 3" xfId="5667"/>
    <cellStyle name="Normal 2 2 26 2 2 4 2 4" xfId="5668"/>
    <cellStyle name="Normal 2 2 26 2 2 4 2 5" xfId="5669"/>
    <cellStyle name="Normal 2 2 26 2 2 4 2 6" xfId="5670"/>
    <cellStyle name="Normal 2 2 26 2 2 4 2 7" xfId="5671"/>
    <cellStyle name="Normal 2 2 26 2 2 4 2 8" xfId="5672"/>
    <cellStyle name="Normal 2 2 26 2 2 4 2 9" xfId="5673"/>
    <cellStyle name="Normal 2 2 26 2 2 4 3" xfId="5674"/>
    <cellStyle name="Normal 2 2 26 2 2 4 3 2" xfId="5675"/>
    <cellStyle name="Normal 2 2 26 2 2 4 4" xfId="5676"/>
    <cellStyle name="Normal 2 2 26 2 2 4 5" xfId="5677"/>
    <cellStyle name="Normal 2 2 26 2 2 4 6" xfId="5678"/>
    <cellStyle name="Normal 2 2 26 2 2 4 7" xfId="5679"/>
    <cellStyle name="Normal 2 2 26 2 2 4 8" xfId="5680"/>
    <cellStyle name="Normal 2 2 26 2 2 4 9" xfId="5681"/>
    <cellStyle name="Normal 2 2 26 2 2 5" xfId="5682"/>
    <cellStyle name="Normal 2 2 26 2 2 5 2" xfId="5683"/>
    <cellStyle name="Normal 2 2 26 2 2 6" xfId="5684"/>
    <cellStyle name="Normal 2 2 26 2 2 7" xfId="5685"/>
    <cellStyle name="Normal 2 2 26 2 2 8" xfId="5686"/>
    <cellStyle name="Normal 2 2 26 2 2 9" xfId="5687"/>
    <cellStyle name="Normal 2 2 26 2 3" xfId="5688"/>
    <cellStyle name="Normal 2 2 26 2 3 10" xfId="5689"/>
    <cellStyle name="Normal 2 2 26 2 3 11" xfId="5690"/>
    <cellStyle name="Normal 2 2 26 2 3 12" xfId="5691"/>
    <cellStyle name="Normal 2 2 26 2 3 13" xfId="5692"/>
    <cellStyle name="Normal 2 2 26 2 3 2" xfId="5693"/>
    <cellStyle name="Normal 2 2 26 2 3 2 10" xfId="5694"/>
    <cellStyle name="Normal 2 2 26 2 3 2 11" xfId="5695"/>
    <cellStyle name="Normal 2 2 26 2 3 2 12" xfId="5696"/>
    <cellStyle name="Normal 2 2 26 2 3 2 2" xfId="5697"/>
    <cellStyle name="Normal 2 2 26 2 3 2 2 10" xfId="5698"/>
    <cellStyle name="Normal 2 2 26 2 3 2 2 11" xfId="5699"/>
    <cellStyle name="Normal 2 2 26 2 3 2 2 12" xfId="5700"/>
    <cellStyle name="Normal 2 2 26 2 3 2 2 2" xfId="5701"/>
    <cellStyle name="Normal 2 2 26 2 3 2 2 2 10" xfId="5702"/>
    <cellStyle name="Normal 2 2 26 2 3 2 2 2 11" xfId="5703"/>
    <cellStyle name="Normal 2 2 26 2 3 2 2 2 2" xfId="5704"/>
    <cellStyle name="Normal 2 2 26 2 3 2 2 2 2 10" xfId="5705"/>
    <cellStyle name="Normal 2 2 26 2 3 2 2 2 2 11" xfId="5706"/>
    <cellStyle name="Normal 2 2 26 2 3 2 2 2 2 2" xfId="5707"/>
    <cellStyle name="Normal 2 2 26 2 3 2 2 2 2 2 2" xfId="5708"/>
    <cellStyle name="Normal 2 2 26 2 3 2 2 2 2 3" xfId="5709"/>
    <cellStyle name="Normal 2 2 26 2 3 2 2 2 2 4" xfId="5710"/>
    <cellStyle name="Normal 2 2 26 2 3 2 2 2 2 5" xfId="5711"/>
    <cellStyle name="Normal 2 2 26 2 3 2 2 2 2 6" xfId="5712"/>
    <cellStyle name="Normal 2 2 26 2 3 2 2 2 2 7" xfId="5713"/>
    <cellStyle name="Normal 2 2 26 2 3 2 2 2 2 8" xfId="5714"/>
    <cellStyle name="Normal 2 2 26 2 3 2 2 2 2 9" xfId="5715"/>
    <cellStyle name="Normal 2 2 26 2 3 2 2 2 3" xfId="5716"/>
    <cellStyle name="Normal 2 2 26 2 3 2 2 2 3 2" xfId="5717"/>
    <cellStyle name="Normal 2 2 26 2 3 2 2 2 4" xfId="5718"/>
    <cellStyle name="Normal 2 2 26 2 3 2 2 2 5" xfId="5719"/>
    <cellStyle name="Normal 2 2 26 2 3 2 2 2 6" xfId="5720"/>
    <cellStyle name="Normal 2 2 26 2 3 2 2 2 7" xfId="5721"/>
    <cellStyle name="Normal 2 2 26 2 3 2 2 2 8" xfId="5722"/>
    <cellStyle name="Normal 2 2 26 2 3 2 2 2 9" xfId="5723"/>
    <cellStyle name="Normal 2 2 26 2 3 2 2 3" xfId="5724"/>
    <cellStyle name="Normal 2 2 26 2 3 2 2 3 2" xfId="5725"/>
    <cellStyle name="Normal 2 2 26 2 3 2 2 4" xfId="5726"/>
    <cellStyle name="Normal 2 2 26 2 3 2 2 5" xfId="5727"/>
    <cellStyle name="Normal 2 2 26 2 3 2 2 6" xfId="5728"/>
    <cellStyle name="Normal 2 2 26 2 3 2 2 7" xfId="5729"/>
    <cellStyle name="Normal 2 2 26 2 3 2 2 8" xfId="5730"/>
    <cellStyle name="Normal 2 2 26 2 3 2 2 9" xfId="5731"/>
    <cellStyle name="Normal 2 2 26 2 3 2 3" xfId="5732"/>
    <cellStyle name="Normal 2 2 26 2 3 2 3 10" xfId="5733"/>
    <cellStyle name="Normal 2 2 26 2 3 2 3 11" xfId="5734"/>
    <cellStyle name="Normal 2 2 26 2 3 2 3 2" xfId="5735"/>
    <cellStyle name="Normal 2 2 26 2 3 2 3 2 2" xfId="5736"/>
    <cellStyle name="Normal 2 2 26 2 3 2 3 3" xfId="5737"/>
    <cellStyle name="Normal 2 2 26 2 3 2 3 4" xfId="5738"/>
    <cellStyle name="Normal 2 2 26 2 3 2 3 5" xfId="5739"/>
    <cellStyle name="Normal 2 2 26 2 3 2 3 6" xfId="5740"/>
    <cellStyle name="Normal 2 2 26 2 3 2 3 7" xfId="5741"/>
    <cellStyle name="Normal 2 2 26 2 3 2 3 8" xfId="5742"/>
    <cellStyle name="Normal 2 2 26 2 3 2 3 9" xfId="5743"/>
    <cellStyle name="Normal 2 2 26 2 3 2 4" xfId="5744"/>
    <cellStyle name="Normal 2 2 26 2 3 2 4 2" xfId="5745"/>
    <cellStyle name="Normal 2 2 26 2 3 2 5" xfId="5746"/>
    <cellStyle name="Normal 2 2 26 2 3 2 6" xfId="5747"/>
    <cellStyle name="Normal 2 2 26 2 3 2 7" xfId="5748"/>
    <cellStyle name="Normal 2 2 26 2 3 2 8" xfId="5749"/>
    <cellStyle name="Normal 2 2 26 2 3 2 9" xfId="5750"/>
    <cellStyle name="Normal 2 2 26 2 3 3" xfId="5751"/>
    <cellStyle name="Normal 2 2 26 2 3 3 10" xfId="5752"/>
    <cellStyle name="Normal 2 2 26 2 3 3 11" xfId="5753"/>
    <cellStyle name="Normal 2 2 26 2 3 3 2" xfId="5754"/>
    <cellStyle name="Normal 2 2 26 2 3 3 2 10" xfId="5755"/>
    <cellStyle name="Normal 2 2 26 2 3 3 2 11" xfId="5756"/>
    <cellStyle name="Normal 2 2 26 2 3 3 2 2" xfId="5757"/>
    <cellStyle name="Normal 2 2 26 2 3 3 2 2 2" xfId="5758"/>
    <cellStyle name="Normal 2 2 26 2 3 3 2 3" xfId="5759"/>
    <cellStyle name="Normal 2 2 26 2 3 3 2 4" xfId="5760"/>
    <cellStyle name="Normal 2 2 26 2 3 3 2 5" xfId="5761"/>
    <cellStyle name="Normal 2 2 26 2 3 3 2 6" xfId="5762"/>
    <cellStyle name="Normal 2 2 26 2 3 3 2 7" xfId="5763"/>
    <cellStyle name="Normal 2 2 26 2 3 3 2 8" xfId="5764"/>
    <cellStyle name="Normal 2 2 26 2 3 3 2 9" xfId="5765"/>
    <cellStyle name="Normal 2 2 26 2 3 3 3" xfId="5766"/>
    <cellStyle name="Normal 2 2 26 2 3 3 3 2" xfId="5767"/>
    <cellStyle name="Normal 2 2 26 2 3 3 4" xfId="5768"/>
    <cellStyle name="Normal 2 2 26 2 3 3 5" xfId="5769"/>
    <cellStyle name="Normal 2 2 26 2 3 3 6" xfId="5770"/>
    <cellStyle name="Normal 2 2 26 2 3 3 7" xfId="5771"/>
    <cellStyle name="Normal 2 2 26 2 3 3 8" xfId="5772"/>
    <cellStyle name="Normal 2 2 26 2 3 3 9" xfId="5773"/>
    <cellStyle name="Normal 2 2 26 2 3 4" xfId="5774"/>
    <cellStyle name="Normal 2 2 26 2 3 4 2" xfId="5775"/>
    <cellStyle name="Normal 2 2 26 2 3 5" xfId="5776"/>
    <cellStyle name="Normal 2 2 26 2 3 6" xfId="5777"/>
    <cellStyle name="Normal 2 2 26 2 3 7" xfId="5778"/>
    <cellStyle name="Normal 2 2 26 2 3 8" xfId="5779"/>
    <cellStyle name="Normal 2 2 26 2 3 9" xfId="5780"/>
    <cellStyle name="Normal 2 2 26 2 4" xfId="5781"/>
    <cellStyle name="Normal 2 2 26 2 4 10" xfId="5782"/>
    <cellStyle name="Normal 2 2 26 2 4 11" xfId="5783"/>
    <cellStyle name="Normal 2 2 26 2 4 12" xfId="5784"/>
    <cellStyle name="Normal 2 2 26 2 4 2" xfId="5785"/>
    <cellStyle name="Normal 2 2 26 2 4 2 10" xfId="5786"/>
    <cellStyle name="Normal 2 2 26 2 4 2 11" xfId="5787"/>
    <cellStyle name="Normal 2 2 26 2 4 2 2" xfId="5788"/>
    <cellStyle name="Normal 2 2 26 2 4 2 2 10" xfId="5789"/>
    <cellStyle name="Normal 2 2 26 2 4 2 2 11" xfId="5790"/>
    <cellStyle name="Normal 2 2 26 2 4 2 2 2" xfId="5791"/>
    <cellStyle name="Normal 2 2 26 2 4 2 2 2 2" xfId="5792"/>
    <cellStyle name="Normal 2 2 26 2 4 2 2 3" xfId="5793"/>
    <cellStyle name="Normal 2 2 26 2 4 2 2 4" xfId="5794"/>
    <cellStyle name="Normal 2 2 26 2 4 2 2 5" xfId="5795"/>
    <cellStyle name="Normal 2 2 26 2 4 2 2 6" xfId="5796"/>
    <cellStyle name="Normal 2 2 26 2 4 2 2 7" xfId="5797"/>
    <cellStyle name="Normal 2 2 26 2 4 2 2 8" xfId="5798"/>
    <cellStyle name="Normal 2 2 26 2 4 2 2 9" xfId="5799"/>
    <cellStyle name="Normal 2 2 26 2 4 2 3" xfId="5800"/>
    <cellStyle name="Normal 2 2 26 2 4 2 3 2" xfId="5801"/>
    <cellStyle name="Normal 2 2 26 2 4 2 4" xfId="5802"/>
    <cellStyle name="Normal 2 2 26 2 4 2 5" xfId="5803"/>
    <cellStyle name="Normal 2 2 26 2 4 2 6" xfId="5804"/>
    <cellStyle name="Normal 2 2 26 2 4 2 7" xfId="5805"/>
    <cellStyle name="Normal 2 2 26 2 4 2 8" xfId="5806"/>
    <cellStyle name="Normal 2 2 26 2 4 2 9" xfId="5807"/>
    <cellStyle name="Normal 2 2 26 2 4 3" xfId="5808"/>
    <cellStyle name="Normal 2 2 26 2 4 3 2" xfId="5809"/>
    <cellStyle name="Normal 2 2 26 2 4 4" xfId="5810"/>
    <cellStyle name="Normal 2 2 26 2 4 5" xfId="5811"/>
    <cellStyle name="Normal 2 2 26 2 4 6" xfId="5812"/>
    <cellStyle name="Normal 2 2 26 2 4 7" xfId="5813"/>
    <cellStyle name="Normal 2 2 26 2 4 8" xfId="5814"/>
    <cellStyle name="Normal 2 2 26 2 4 9" xfId="5815"/>
    <cellStyle name="Normal 2 2 26 2 5" xfId="5816"/>
    <cellStyle name="Normal 2 2 26 2 5 10" xfId="5817"/>
    <cellStyle name="Normal 2 2 26 2 5 11" xfId="5818"/>
    <cellStyle name="Normal 2 2 26 2 5 2" xfId="5819"/>
    <cellStyle name="Normal 2 2 26 2 5 2 2" xfId="5820"/>
    <cellStyle name="Normal 2 2 26 2 5 3" xfId="5821"/>
    <cellStyle name="Normal 2 2 26 2 5 4" xfId="5822"/>
    <cellStyle name="Normal 2 2 26 2 5 5" xfId="5823"/>
    <cellStyle name="Normal 2 2 26 2 5 6" xfId="5824"/>
    <cellStyle name="Normal 2 2 26 2 5 7" xfId="5825"/>
    <cellStyle name="Normal 2 2 26 2 5 8" xfId="5826"/>
    <cellStyle name="Normal 2 2 26 2 5 9" xfId="5827"/>
    <cellStyle name="Normal 2 2 26 2 6" xfId="5828"/>
    <cellStyle name="Normal 2 2 26 2 6 2" xfId="5829"/>
    <cellStyle name="Normal 2 2 26 2 7" xfId="5830"/>
    <cellStyle name="Normal 2 2 26 2 8" xfId="5831"/>
    <cellStyle name="Normal 2 2 26 2 9" xfId="5832"/>
    <cellStyle name="Normal 2 2 26 3" xfId="5833"/>
    <cellStyle name="Normal 2 2 26 3 10" xfId="5834"/>
    <cellStyle name="Normal 2 2 26 3 11" xfId="5835"/>
    <cellStyle name="Normal 2 2 26 3 12" xfId="5836"/>
    <cellStyle name="Normal 2 2 26 3 13" xfId="5837"/>
    <cellStyle name="Normal 2 2 26 3 2" xfId="5838"/>
    <cellStyle name="Normal 2 2 26 3 2 10" xfId="5839"/>
    <cellStyle name="Normal 2 2 26 3 2 11" xfId="5840"/>
    <cellStyle name="Normal 2 2 26 3 2 12" xfId="5841"/>
    <cellStyle name="Normal 2 2 26 3 2 13" xfId="5842"/>
    <cellStyle name="Normal 2 2 26 3 2 2" xfId="5843"/>
    <cellStyle name="Normal 2 2 26 3 2 2 10" xfId="5844"/>
    <cellStyle name="Normal 2 2 26 3 2 2 11" xfId="5845"/>
    <cellStyle name="Normal 2 2 26 3 2 2 12" xfId="5846"/>
    <cellStyle name="Normal 2 2 26 3 2 2 2" xfId="5847"/>
    <cellStyle name="Normal 2 2 26 3 2 2 2 10" xfId="5848"/>
    <cellStyle name="Normal 2 2 26 3 2 2 2 11" xfId="5849"/>
    <cellStyle name="Normal 2 2 26 3 2 2 2 12" xfId="5850"/>
    <cellStyle name="Normal 2 2 26 3 2 2 2 2" xfId="5851"/>
    <cellStyle name="Normal 2 2 26 3 2 2 2 2 10" xfId="5852"/>
    <cellStyle name="Normal 2 2 26 3 2 2 2 2 11" xfId="5853"/>
    <cellStyle name="Normal 2 2 26 3 2 2 2 2 2" xfId="5854"/>
    <cellStyle name="Normal 2 2 26 3 2 2 2 2 2 10" xfId="5855"/>
    <cellStyle name="Normal 2 2 26 3 2 2 2 2 2 11" xfId="5856"/>
    <cellStyle name="Normal 2 2 26 3 2 2 2 2 2 2" xfId="5857"/>
    <cellStyle name="Normal 2 2 26 3 2 2 2 2 2 2 2" xfId="5858"/>
    <cellStyle name="Normal 2 2 26 3 2 2 2 2 2 3" xfId="5859"/>
    <cellStyle name="Normal 2 2 26 3 2 2 2 2 2 4" xfId="5860"/>
    <cellStyle name="Normal 2 2 26 3 2 2 2 2 2 5" xfId="5861"/>
    <cellStyle name="Normal 2 2 26 3 2 2 2 2 2 6" xfId="5862"/>
    <cellStyle name="Normal 2 2 26 3 2 2 2 2 2 7" xfId="5863"/>
    <cellStyle name="Normal 2 2 26 3 2 2 2 2 2 8" xfId="5864"/>
    <cellStyle name="Normal 2 2 26 3 2 2 2 2 2 9" xfId="5865"/>
    <cellStyle name="Normal 2 2 26 3 2 2 2 2 3" xfId="5866"/>
    <cellStyle name="Normal 2 2 26 3 2 2 2 2 3 2" xfId="5867"/>
    <cellStyle name="Normal 2 2 26 3 2 2 2 2 4" xfId="5868"/>
    <cellStyle name="Normal 2 2 26 3 2 2 2 2 5" xfId="5869"/>
    <cellStyle name="Normal 2 2 26 3 2 2 2 2 6" xfId="5870"/>
    <cellStyle name="Normal 2 2 26 3 2 2 2 2 7" xfId="5871"/>
    <cellStyle name="Normal 2 2 26 3 2 2 2 2 8" xfId="5872"/>
    <cellStyle name="Normal 2 2 26 3 2 2 2 2 9" xfId="5873"/>
    <cellStyle name="Normal 2 2 26 3 2 2 2 3" xfId="5874"/>
    <cellStyle name="Normal 2 2 26 3 2 2 2 3 2" xfId="5875"/>
    <cellStyle name="Normal 2 2 26 3 2 2 2 4" xfId="5876"/>
    <cellStyle name="Normal 2 2 26 3 2 2 2 5" xfId="5877"/>
    <cellStyle name="Normal 2 2 26 3 2 2 2 6" xfId="5878"/>
    <cellStyle name="Normal 2 2 26 3 2 2 2 7" xfId="5879"/>
    <cellStyle name="Normal 2 2 26 3 2 2 2 8" xfId="5880"/>
    <cellStyle name="Normal 2 2 26 3 2 2 2 9" xfId="5881"/>
    <cellStyle name="Normal 2 2 26 3 2 2 3" xfId="5882"/>
    <cellStyle name="Normal 2 2 26 3 2 2 3 10" xfId="5883"/>
    <cellStyle name="Normal 2 2 26 3 2 2 3 11" xfId="5884"/>
    <cellStyle name="Normal 2 2 26 3 2 2 3 2" xfId="5885"/>
    <cellStyle name="Normal 2 2 26 3 2 2 3 2 2" xfId="5886"/>
    <cellStyle name="Normal 2 2 26 3 2 2 3 3" xfId="5887"/>
    <cellStyle name="Normal 2 2 26 3 2 2 3 4" xfId="5888"/>
    <cellStyle name="Normal 2 2 26 3 2 2 3 5" xfId="5889"/>
    <cellStyle name="Normal 2 2 26 3 2 2 3 6" xfId="5890"/>
    <cellStyle name="Normal 2 2 26 3 2 2 3 7" xfId="5891"/>
    <cellStyle name="Normal 2 2 26 3 2 2 3 8" xfId="5892"/>
    <cellStyle name="Normal 2 2 26 3 2 2 3 9" xfId="5893"/>
    <cellStyle name="Normal 2 2 26 3 2 2 4" xfId="5894"/>
    <cellStyle name="Normal 2 2 26 3 2 2 4 2" xfId="5895"/>
    <cellStyle name="Normal 2 2 26 3 2 2 5" xfId="5896"/>
    <cellStyle name="Normal 2 2 26 3 2 2 6" xfId="5897"/>
    <cellStyle name="Normal 2 2 26 3 2 2 7" xfId="5898"/>
    <cellStyle name="Normal 2 2 26 3 2 2 8" xfId="5899"/>
    <cellStyle name="Normal 2 2 26 3 2 2 9" xfId="5900"/>
    <cellStyle name="Normal 2 2 26 3 2 3" xfId="5901"/>
    <cellStyle name="Normal 2 2 26 3 2 3 10" xfId="5902"/>
    <cellStyle name="Normal 2 2 26 3 2 3 11" xfId="5903"/>
    <cellStyle name="Normal 2 2 26 3 2 3 2" xfId="5904"/>
    <cellStyle name="Normal 2 2 26 3 2 3 2 10" xfId="5905"/>
    <cellStyle name="Normal 2 2 26 3 2 3 2 11" xfId="5906"/>
    <cellStyle name="Normal 2 2 26 3 2 3 2 2" xfId="5907"/>
    <cellStyle name="Normal 2 2 26 3 2 3 2 2 2" xfId="5908"/>
    <cellStyle name="Normal 2 2 26 3 2 3 2 3" xfId="5909"/>
    <cellStyle name="Normal 2 2 26 3 2 3 2 4" xfId="5910"/>
    <cellStyle name="Normal 2 2 26 3 2 3 2 5" xfId="5911"/>
    <cellStyle name="Normal 2 2 26 3 2 3 2 6" xfId="5912"/>
    <cellStyle name="Normal 2 2 26 3 2 3 2 7" xfId="5913"/>
    <cellStyle name="Normal 2 2 26 3 2 3 2 8" xfId="5914"/>
    <cellStyle name="Normal 2 2 26 3 2 3 2 9" xfId="5915"/>
    <cellStyle name="Normal 2 2 26 3 2 3 3" xfId="5916"/>
    <cellStyle name="Normal 2 2 26 3 2 3 3 2" xfId="5917"/>
    <cellStyle name="Normal 2 2 26 3 2 3 4" xfId="5918"/>
    <cellStyle name="Normal 2 2 26 3 2 3 5" xfId="5919"/>
    <cellStyle name="Normal 2 2 26 3 2 3 6" xfId="5920"/>
    <cellStyle name="Normal 2 2 26 3 2 3 7" xfId="5921"/>
    <cellStyle name="Normal 2 2 26 3 2 3 8" xfId="5922"/>
    <cellStyle name="Normal 2 2 26 3 2 3 9" xfId="5923"/>
    <cellStyle name="Normal 2 2 26 3 2 4" xfId="5924"/>
    <cellStyle name="Normal 2 2 26 3 2 4 2" xfId="5925"/>
    <cellStyle name="Normal 2 2 26 3 2 5" xfId="5926"/>
    <cellStyle name="Normal 2 2 26 3 2 6" xfId="5927"/>
    <cellStyle name="Normal 2 2 26 3 2 7" xfId="5928"/>
    <cellStyle name="Normal 2 2 26 3 2 8" xfId="5929"/>
    <cellStyle name="Normal 2 2 26 3 2 9" xfId="5930"/>
    <cellStyle name="Normal 2 2 26 3 3" xfId="5931"/>
    <cellStyle name="Normal 2 2 26 3 3 10" xfId="5932"/>
    <cellStyle name="Normal 2 2 26 3 3 11" xfId="5933"/>
    <cellStyle name="Normal 2 2 26 3 3 12" xfId="5934"/>
    <cellStyle name="Normal 2 2 26 3 3 2" xfId="5935"/>
    <cellStyle name="Normal 2 2 26 3 3 2 10" xfId="5936"/>
    <cellStyle name="Normal 2 2 26 3 3 2 11" xfId="5937"/>
    <cellStyle name="Normal 2 2 26 3 3 2 2" xfId="5938"/>
    <cellStyle name="Normal 2 2 26 3 3 2 2 10" xfId="5939"/>
    <cellStyle name="Normal 2 2 26 3 3 2 2 11" xfId="5940"/>
    <cellStyle name="Normal 2 2 26 3 3 2 2 2" xfId="5941"/>
    <cellStyle name="Normal 2 2 26 3 3 2 2 2 2" xfId="5942"/>
    <cellStyle name="Normal 2 2 26 3 3 2 2 3" xfId="5943"/>
    <cellStyle name="Normal 2 2 26 3 3 2 2 4" xfId="5944"/>
    <cellStyle name="Normal 2 2 26 3 3 2 2 5" xfId="5945"/>
    <cellStyle name="Normal 2 2 26 3 3 2 2 6" xfId="5946"/>
    <cellStyle name="Normal 2 2 26 3 3 2 2 7" xfId="5947"/>
    <cellStyle name="Normal 2 2 26 3 3 2 2 8" xfId="5948"/>
    <cellStyle name="Normal 2 2 26 3 3 2 2 9" xfId="5949"/>
    <cellStyle name="Normal 2 2 26 3 3 2 3" xfId="5950"/>
    <cellStyle name="Normal 2 2 26 3 3 2 3 2" xfId="5951"/>
    <cellStyle name="Normal 2 2 26 3 3 2 4" xfId="5952"/>
    <cellStyle name="Normal 2 2 26 3 3 2 5" xfId="5953"/>
    <cellStyle name="Normal 2 2 26 3 3 2 6" xfId="5954"/>
    <cellStyle name="Normal 2 2 26 3 3 2 7" xfId="5955"/>
    <cellStyle name="Normal 2 2 26 3 3 2 8" xfId="5956"/>
    <cellStyle name="Normal 2 2 26 3 3 2 9" xfId="5957"/>
    <cellStyle name="Normal 2 2 26 3 3 3" xfId="5958"/>
    <cellStyle name="Normal 2 2 26 3 3 3 2" xfId="5959"/>
    <cellStyle name="Normal 2 2 26 3 3 4" xfId="5960"/>
    <cellStyle name="Normal 2 2 26 3 3 5" xfId="5961"/>
    <cellStyle name="Normal 2 2 26 3 3 6" xfId="5962"/>
    <cellStyle name="Normal 2 2 26 3 3 7" xfId="5963"/>
    <cellStyle name="Normal 2 2 26 3 3 8" xfId="5964"/>
    <cellStyle name="Normal 2 2 26 3 3 9" xfId="5965"/>
    <cellStyle name="Normal 2 2 26 3 4" xfId="5966"/>
    <cellStyle name="Normal 2 2 26 3 4 10" xfId="5967"/>
    <cellStyle name="Normal 2 2 26 3 4 11" xfId="5968"/>
    <cellStyle name="Normal 2 2 26 3 4 2" xfId="5969"/>
    <cellStyle name="Normal 2 2 26 3 4 2 2" xfId="5970"/>
    <cellStyle name="Normal 2 2 26 3 4 3" xfId="5971"/>
    <cellStyle name="Normal 2 2 26 3 4 4" xfId="5972"/>
    <cellStyle name="Normal 2 2 26 3 4 5" xfId="5973"/>
    <cellStyle name="Normal 2 2 26 3 4 6" xfId="5974"/>
    <cellStyle name="Normal 2 2 26 3 4 7" xfId="5975"/>
    <cellStyle name="Normal 2 2 26 3 4 8" xfId="5976"/>
    <cellStyle name="Normal 2 2 26 3 4 9" xfId="5977"/>
    <cellStyle name="Normal 2 2 26 3 5" xfId="5978"/>
    <cellStyle name="Normal 2 2 26 3 5 2" xfId="5979"/>
    <cellStyle name="Normal 2 2 26 3 6" xfId="5980"/>
    <cellStyle name="Normal 2 2 26 3 7" xfId="5981"/>
    <cellStyle name="Normal 2 2 26 3 8" xfId="5982"/>
    <cellStyle name="Normal 2 2 26 3 9" xfId="5983"/>
    <cellStyle name="Normal 2 2 26 4" xfId="5984"/>
    <cellStyle name="Normal 2 2 26 4 10" xfId="5985"/>
    <cellStyle name="Normal 2 2 26 4 11" xfId="5986"/>
    <cellStyle name="Normal 2 2 26 4 12" xfId="5987"/>
    <cellStyle name="Normal 2 2 26 4 2" xfId="5988"/>
    <cellStyle name="Normal 2 2 26 4 2 10" xfId="5989"/>
    <cellStyle name="Normal 2 2 26 4 2 11" xfId="5990"/>
    <cellStyle name="Normal 2 2 26 4 2 12" xfId="5991"/>
    <cellStyle name="Normal 2 2 26 4 2 2" xfId="5992"/>
    <cellStyle name="Normal 2 2 26 4 2 2 10" xfId="5993"/>
    <cellStyle name="Normal 2 2 26 4 2 2 11" xfId="5994"/>
    <cellStyle name="Normal 2 2 26 4 2 2 2" xfId="5995"/>
    <cellStyle name="Normal 2 2 26 4 2 2 2 10" xfId="5996"/>
    <cellStyle name="Normal 2 2 26 4 2 2 2 11" xfId="5997"/>
    <cellStyle name="Normal 2 2 26 4 2 2 2 2" xfId="5998"/>
    <cellStyle name="Normal 2 2 26 4 2 2 2 2 2" xfId="5999"/>
    <cellStyle name="Normal 2 2 26 4 2 2 2 3" xfId="6000"/>
    <cellStyle name="Normal 2 2 26 4 2 2 2 4" xfId="6001"/>
    <cellStyle name="Normal 2 2 26 4 2 2 2 5" xfId="6002"/>
    <cellStyle name="Normal 2 2 26 4 2 2 2 6" xfId="6003"/>
    <cellStyle name="Normal 2 2 26 4 2 2 2 7" xfId="6004"/>
    <cellStyle name="Normal 2 2 26 4 2 2 2 8" xfId="6005"/>
    <cellStyle name="Normal 2 2 26 4 2 2 2 9" xfId="6006"/>
    <cellStyle name="Normal 2 2 26 4 2 2 3" xfId="6007"/>
    <cellStyle name="Normal 2 2 26 4 2 2 3 2" xfId="6008"/>
    <cellStyle name="Normal 2 2 26 4 2 2 4" xfId="6009"/>
    <cellStyle name="Normal 2 2 26 4 2 2 5" xfId="6010"/>
    <cellStyle name="Normal 2 2 26 4 2 2 6" xfId="6011"/>
    <cellStyle name="Normal 2 2 26 4 2 2 7" xfId="6012"/>
    <cellStyle name="Normal 2 2 26 4 2 2 8" xfId="6013"/>
    <cellStyle name="Normal 2 2 26 4 2 2 9" xfId="6014"/>
    <cellStyle name="Normal 2 2 26 4 2 3" xfId="6015"/>
    <cellStyle name="Normal 2 2 26 4 2 3 2" xfId="6016"/>
    <cellStyle name="Normal 2 2 26 4 2 4" xfId="6017"/>
    <cellStyle name="Normal 2 2 26 4 2 5" xfId="6018"/>
    <cellStyle name="Normal 2 2 26 4 2 6" xfId="6019"/>
    <cellStyle name="Normal 2 2 26 4 2 7" xfId="6020"/>
    <cellStyle name="Normal 2 2 26 4 2 8" xfId="6021"/>
    <cellStyle name="Normal 2 2 26 4 2 9" xfId="6022"/>
    <cellStyle name="Normal 2 2 26 4 3" xfId="6023"/>
    <cellStyle name="Normal 2 2 26 4 3 10" xfId="6024"/>
    <cellStyle name="Normal 2 2 26 4 3 11" xfId="6025"/>
    <cellStyle name="Normal 2 2 26 4 3 2" xfId="6026"/>
    <cellStyle name="Normal 2 2 26 4 3 2 2" xfId="6027"/>
    <cellStyle name="Normal 2 2 26 4 3 3" xfId="6028"/>
    <cellStyle name="Normal 2 2 26 4 3 4" xfId="6029"/>
    <cellStyle name="Normal 2 2 26 4 3 5" xfId="6030"/>
    <cellStyle name="Normal 2 2 26 4 3 6" xfId="6031"/>
    <cellStyle name="Normal 2 2 26 4 3 7" xfId="6032"/>
    <cellStyle name="Normal 2 2 26 4 3 8" xfId="6033"/>
    <cellStyle name="Normal 2 2 26 4 3 9" xfId="6034"/>
    <cellStyle name="Normal 2 2 26 4 4" xfId="6035"/>
    <cellStyle name="Normal 2 2 26 4 4 2" xfId="6036"/>
    <cellStyle name="Normal 2 2 26 4 5" xfId="6037"/>
    <cellStyle name="Normal 2 2 26 4 6" xfId="6038"/>
    <cellStyle name="Normal 2 2 26 4 7" xfId="6039"/>
    <cellStyle name="Normal 2 2 26 4 8" xfId="6040"/>
    <cellStyle name="Normal 2 2 26 4 9" xfId="6041"/>
    <cellStyle name="Normal 2 2 26 5" xfId="6042"/>
    <cellStyle name="Normal 2 2 26 5 10" xfId="6043"/>
    <cellStyle name="Normal 2 2 26 5 11" xfId="6044"/>
    <cellStyle name="Normal 2 2 26 5 2" xfId="6045"/>
    <cellStyle name="Normal 2 2 26 5 2 10" xfId="6046"/>
    <cellStyle name="Normal 2 2 26 5 2 11" xfId="6047"/>
    <cellStyle name="Normal 2 2 26 5 2 2" xfId="6048"/>
    <cellStyle name="Normal 2 2 26 5 2 2 2" xfId="6049"/>
    <cellStyle name="Normal 2 2 26 5 2 3" xfId="6050"/>
    <cellStyle name="Normal 2 2 26 5 2 4" xfId="6051"/>
    <cellStyle name="Normal 2 2 26 5 2 5" xfId="6052"/>
    <cellStyle name="Normal 2 2 26 5 2 6" xfId="6053"/>
    <cellStyle name="Normal 2 2 26 5 2 7" xfId="6054"/>
    <cellStyle name="Normal 2 2 26 5 2 8" xfId="6055"/>
    <cellStyle name="Normal 2 2 26 5 2 9" xfId="6056"/>
    <cellStyle name="Normal 2 2 26 5 3" xfId="6057"/>
    <cellStyle name="Normal 2 2 26 5 3 2" xfId="6058"/>
    <cellStyle name="Normal 2 2 26 5 4" xfId="6059"/>
    <cellStyle name="Normal 2 2 26 5 5" xfId="6060"/>
    <cellStyle name="Normal 2 2 26 5 6" xfId="6061"/>
    <cellStyle name="Normal 2 2 26 5 7" xfId="6062"/>
    <cellStyle name="Normal 2 2 26 5 8" xfId="6063"/>
    <cellStyle name="Normal 2 2 26 5 9" xfId="6064"/>
    <cellStyle name="Normal 2 2 26 6" xfId="6065"/>
    <cellStyle name="Normal 2 2 26 6 2" xfId="6066"/>
    <cellStyle name="Normal 2 2 26 7" xfId="6067"/>
    <cellStyle name="Normal 2 2 26 8" xfId="6068"/>
    <cellStyle name="Normal 2 2 26 9" xfId="6069"/>
    <cellStyle name="Normal 2 2 27" xfId="6070"/>
    <cellStyle name="Normal 2 2 27 10" xfId="6071"/>
    <cellStyle name="Normal 2 2 27 11" xfId="6072"/>
    <cellStyle name="Normal 2 2 27 12" xfId="6073"/>
    <cellStyle name="Normal 2 2 27 13" xfId="6074"/>
    <cellStyle name="Normal 2 2 27 14" xfId="6075"/>
    <cellStyle name="Normal 2 2 27 2" xfId="6076"/>
    <cellStyle name="Normal 2 2 27 2 10" xfId="6077"/>
    <cellStyle name="Normal 2 2 27 2 11" xfId="6078"/>
    <cellStyle name="Normal 2 2 27 2 12" xfId="6079"/>
    <cellStyle name="Normal 2 2 27 2 13" xfId="6080"/>
    <cellStyle name="Normal 2 2 27 2 2" xfId="6081"/>
    <cellStyle name="Normal 2 2 27 2 2 10" xfId="6082"/>
    <cellStyle name="Normal 2 2 27 2 2 11" xfId="6083"/>
    <cellStyle name="Normal 2 2 27 2 2 12" xfId="6084"/>
    <cellStyle name="Normal 2 2 27 2 2 13" xfId="6085"/>
    <cellStyle name="Normal 2 2 27 2 2 2" xfId="6086"/>
    <cellStyle name="Normal 2 2 27 2 2 2 10" xfId="6087"/>
    <cellStyle name="Normal 2 2 27 2 2 2 11" xfId="6088"/>
    <cellStyle name="Normal 2 2 27 2 2 2 12" xfId="6089"/>
    <cellStyle name="Normal 2 2 27 2 2 2 2" xfId="6090"/>
    <cellStyle name="Normal 2 2 27 2 2 2 2 10" xfId="6091"/>
    <cellStyle name="Normal 2 2 27 2 2 2 2 11" xfId="6092"/>
    <cellStyle name="Normal 2 2 27 2 2 2 2 12" xfId="6093"/>
    <cellStyle name="Normal 2 2 27 2 2 2 2 2" xfId="6094"/>
    <cellStyle name="Normal 2 2 27 2 2 2 2 2 10" xfId="6095"/>
    <cellStyle name="Normal 2 2 27 2 2 2 2 2 11" xfId="6096"/>
    <cellStyle name="Normal 2 2 27 2 2 2 2 2 2" xfId="6097"/>
    <cellStyle name="Normal 2 2 27 2 2 2 2 2 2 10" xfId="6098"/>
    <cellStyle name="Normal 2 2 27 2 2 2 2 2 2 11" xfId="6099"/>
    <cellStyle name="Normal 2 2 27 2 2 2 2 2 2 2" xfId="6100"/>
    <cellStyle name="Normal 2 2 27 2 2 2 2 2 2 2 2" xfId="6101"/>
    <cellStyle name="Normal 2 2 27 2 2 2 2 2 2 3" xfId="6102"/>
    <cellStyle name="Normal 2 2 27 2 2 2 2 2 2 4" xfId="6103"/>
    <cellStyle name="Normal 2 2 27 2 2 2 2 2 2 5" xfId="6104"/>
    <cellStyle name="Normal 2 2 27 2 2 2 2 2 2 6" xfId="6105"/>
    <cellStyle name="Normal 2 2 27 2 2 2 2 2 2 7" xfId="6106"/>
    <cellStyle name="Normal 2 2 27 2 2 2 2 2 2 8" xfId="6107"/>
    <cellStyle name="Normal 2 2 27 2 2 2 2 2 2 9" xfId="6108"/>
    <cellStyle name="Normal 2 2 27 2 2 2 2 2 3" xfId="6109"/>
    <cellStyle name="Normal 2 2 27 2 2 2 2 2 3 2" xfId="6110"/>
    <cellStyle name="Normal 2 2 27 2 2 2 2 2 4" xfId="6111"/>
    <cellStyle name="Normal 2 2 27 2 2 2 2 2 5" xfId="6112"/>
    <cellStyle name="Normal 2 2 27 2 2 2 2 2 6" xfId="6113"/>
    <cellStyle name="Normal 2 2 27 2 2 2 2 2 7" xfId="6114"/>
    <cellStyle name="Normal 2 2 27 2 2 2 2 2 8" xfId="6115"/>
    <cellStyle name="Normal 2 2 27 2 2 2 2 2 9" xfId="6116"/>
    <cellStyle name="Normal 2 2 27 2 2 2 2 3" xfId="6117"/>
    <cellStyle name="Normal 2 2 27 2 2 2 2 3 2" xfId="6118"/>
    <cellStyle name="Normal 2 2 27 2 2 2 2 4" xfId="6119"/>
    <cellStyle name="Normal 2 2 27 2 2 2 2 5" xfId="6120"/>
    <cellStyle name="Normal 2 2 27 2 2 2 2 6" xfId="6121"/>
    <cellStyle name="Normal 2 2 27 2 2 2 2 7" xfId="6122"/>
    <cellStyle name="Normal 2 2 27 2 2 2 2 8" xfId="6123"/>
    <cellStyle name="Normal 2 2 27 2 2 2 2 9" xfId="6124"/>
    <cellStyle name="Normal 2 2 27 2 2 2 3" xfId="6125"/>
    <cellStyle name="Normal 2 2 27 2 2 2 3 10" xfId="6126"/>
    <cellStyle name="Normal 2 2 27 2 2 2 3 11" xfId="6127"/>
    <cellStyle name="Normal 2 2 27 2 2 2 3 2" xfId="6128"/>
    <cellStyle name="Normal 2 2 27 2 2 2 3 2 2" xfId="6129"/>
    <cellStyle name="Normal 2 2 27 2 2 2 3 3" xfId="6130"/>
    <cellStyle name="Normal 2 2 27 2 2 2 3 4" xfId="6131"/>
    <cellStyle name="Normal 2 2 27 2 2 2 3 5" xfId="6132"/>
    <cellStyle name="Normal 2 2 27 2 2 2 3 6" xfId="6133"/>
    <cellStyle name="Normal 2 2 27 2 2 2 3 7" xfId="6134"/>
    <cellStyle name="Normal 2 2 27 2 2 2 3 8" xfId="6135"/>
    <cellStyle name="Normal 2 2 27 2 2 2 3 9" xfId="6136"/>
    <cellStyle name="Normal 2 2 27 2 2 2 4" xfId="6137"/>
    <cellStyle name="Normal 2 2 27 2 2 2 4 2" xfId="6138"/>
    <cellStyle name="Normal 2 2 27 2 2 2 5" xfId="6139"/>
    <cellStyle name="Normal 2 2 27 2 2 2 6" xfId="6140"/>
    <cellStyle name="Normal 2 2 27 2 2 2 7" xfId="6141"/>
    <cellStyle name="Normal 2 2 27 2 2 2 8" xfId="6142"/>
    <cellStyle name="Normal 2 2 27 2 2 2 9" xfId="6143"/>
    <cellStyle name="Normal 2 2 27 2 2 3" xfId="6144"/>
    <cellStyle name="Normal 2 2 27 2 2 3 10" xfId="6145"/>
    <cellStyle name="Normal 2 2 27 2 2 3 11" xfId="6146"/>
    <cellStyle name="Normal 2 2 27 2 2 3 2" xfId="6147"/>
    <cellStyle name="Normal 2 2 27 2 2 3 2 10" xfId="6148"/>
    <cellStyle name="Normal 2 2 27 2 2 3 2 11" xfId="6149"/>
    <cellStyle name="Normal 2 2 27 2 2 3 2 2" xfId="6150"/>
    <cellStyle name="Normal 2 2 27 2 2 3 2 2 2" xfId="6151"/>
    <cellStyle name="Normal 2 2 27 2 2 3 2 3" xfId="6152"/>
    <cellStyle name="Normal 2 2 27 2 2 3 2 4" xfId="6153"/>
    <cellStyle name="Normal 2 2 27 2 2 3 2 5" xfId="6154"/>
    <cellStyle name="Normal 2 2 27 2 2 3 2 6" xfId="6155"/>
    <cellStyle name="Normal 2 2 27 2 2 3 2 7" xfId="6156"/>
    <cellStyle name="Normal 2 2 27 2 2 3 2 8" xfId="6157"/>
    <cellStyle name="Normal 2 2 27 2 2 3 2 9" xfId="6158"/>
    <cellStyle name="Normal 2 2 27 2 2 3 3" xfId="6159"/>
    <cellStyle name="Normal 2 2 27 2 2 3 3 2" xfId="6160"/>
    <cellStyle name="Normal 2 2 27 2 2 3 4" xfId="6161"/>
    <cellStyle name="Normal 2 2 27 2 2 3 5" xfId="6162"/>
    <cellStyle name="Normal 2 2 27 2 2 3 6" xfId="6163"/>
    <cellStyle name="Normal 2 2 27 2 2 3 7" xfId="6164"/>
    <cellStyle name="Normal 2 2 27 2 2 3 8" xfId="6165"/>
    <cellStyle name="Normal 2 2 27 2 2 3 9" xfId="6166"/>
    <cellStyle name="Normal 2 2 27 2 2 4" xfId="6167"/>
    <cellStyle name="Normal 2 2 27 2 2 4 2" xfId="6168"/>
    <cellStyle name="Normal 2 2 27 2 2 5" xfId="6169"/>
    <cellStyle name="Normal 2 2 27 2 2 6" xfId="6170"/>
    <cellStyle name="Normal 2 2 27 2 2 7" xfId="6171"/>
    <cellStyle name="Normal 2 2 27 2 2 8" xfId="6172"/>
    <cellStyle name="Normal 2 2 27 2 2 9" xfId="6173"/>
    <cellStyle name="Normal 2 2 27 2 3" xfId="6174"/>
    <cellStyle name="Normal 2 2 27 2 3 10" xfId="6175"/>
    <cellStyle name="Normal 2 2 27 2 3 11" xfId="6176"/>
    <cellStyle name="Normal 2 2 27 2 3 12" xfId="6177"/>
    <cellStyle name="Normal 2 2 27 2 3 2" xfId="6178"/>
    <cellStyle name="Normal 2 2 27 2 3 2 10" xfId="6179"/>
    <cellStyle name="Normal 2 2 27 2 3 2 11" xfId="6180"/>
    <cellStyle name="Normal 2 2 27 2 3 2 2" xfId="6181"/>
    <cellStyle name="Normal 2 2 27 2 3 2 2 10" xfId="6182"/>
    <cellStyle name="Normal 2 2 27 2 3 2 2 11" xfId="6183"/>
    <cellStyle name="Normal 2 2 27 2 3 2 2 2" xfId="6184"/>
    <cellStyle name="Normal 2 2 27 2 3 2 2 2 2" xfId="6185"/>
    <cellStyle name="Normal 2 2 27 2 3 2 2 3" xfId="6186"/>
    <cellStyle name="Normal 2 2 27 2 3 2 2 4" xfId="6187"/>
    <cellStyle name="Normal 2 2 27 2 3 2 2 5" xfId="6188"/>
    <cellStyle name="Normal 2 2 27 2 3 2 2 6" xfId="6189"/>
    <cellStyle name="Normal 2 2 27 2 3 2 2 7" xfId="6190"/>
    <cellStyle name="Normal 2 2 27 2 3 2 2 8" xfId="6191"/>
    <cellStyle name="Normal 2 2 27 2 3 2 2 9" xfId="6192"/>
    <cellStyle name="Normal 2 2 27 2 3 2 3" xfId="6193"/>
    <cellStyle name="Normal 2 2 27 2 3 2 3 2" xfId="6194"/>
    <cellStyle name="Normal 2 2 27 2 3 2 4" xfId="6195"/>
    <cellStyle name="Normal 2 2 27 2 3 2 5" xfId="6196"/>
    <cellStyle name="Normal 2 2 27 2 3 2 6" xfId="6197"/>
    <cellStyle name="Normal 2 2 27 2 3 2 7" xfId="6198"/>
    <cellStyle name="Normal 2 2 27 2 3 2 8" xfId="6199"/>
    <cellStyle name="Normal 2 2 27 2 3 2 9" xfId="6200"/>
    <cellStyle name="Normal 2 2 27 2 3 3" xfId="6201"/>
    <cellStyle name="Normal 2 2 27 2 3 3 2" xfId="6202"/>
    <cellStyle name="Normal 2 2 27 2 3 4" xfId="6203"/>
    <cellStyle name="Normal 2 2 27 2 3 5" xfId="6204"/>
    <cellStyle name="Normal 2 2 27 2 3 6" xfId="6205"/>
    <cellStyle name="Normal 2 2 27 2 3 7" xfId="6206"/>
    <cellStyle name="Normal 2 2 27 2 3 8" xfId="6207"/>
    <cellStyle name="Normal 2 2 27 2 3 9" xfId="6208"/>
    <cellStyle name="Normal 2 2 27 2 4" xfId="6209"/>
    <cellStyle name="Normal 2 2 27 2 4 10" xfId="6210"/>
    <cellStyle name="Normal 2 2 27 2 4 11" xfId="6211"/>
    <cellStyle name="Normal 2 2 27 2 4 2" xfId="6212"/>
    <cellStyle name="Normal 2 2 27 2 4 2 2" xfId="6213"/>
    <cellStyle name="Normal 2 2 27 2 4 3" xfId="6214"/>
    <cellStyle name="Normal 2 2 27 2 4 4" xfId="6215"/>
    <cellStyle name="Normal 2 2 27 2 4 5" xfId="6216"/>
    <cellStyle name="Normal 2 2 27 2 4 6" xfId="6217"/>
    <cellStyle name="Normal 2 2 27 2 4 7" xfId="6218"/>
    <cellStyle name="Normal 2 2 27 2 4 8" xfId="6219"/>
    <cellStyle name="Normal 2 2 27 2 4 9" xfId="6220"/>
    <cellStyle name="Normal 2 2 27 2 5" xfId="6221"/>
    <cellStyle name="Normal 2 2 27 2 5 2" xfId="6222"/>
    <cellStyle name="Normal 2 2 27 2 6" xfId="6223"/>
    <cellStyle name="Normal 2 2 27 2 7" xfId="6224"/>
    <cellStyle name="Normal 2 2 27 2 8" xfId="6225"/>
    <cellStyle name="Normal 2 2 27 2 9" xfId="6226"/>
    <cellStyle name="Normal 2 2 27 3" xfId="6227"/>
    <cellStyle name="Normal 2 2 27 3 10" xfId="6228"/>
    <cellStyle name="Normal 2 2 27 3 11" xfId="6229"/>
    <cellStyle name="Normal 2 2 27 3 12" xfId="6230"/>
    <cellStyle name="Normal 2 2 27 3 2" xfId="6231"/>
    <cellStyle name="Normal 2 2 27 3 2 10" xfId="6232"/>
    <cellStyle name="Normal 2 2 27 3 2 11" xfId="6233"/>
    <cellStyle name="Normal 2 2 27 3 2 12" xfId="6234"/>
    <cellStyle name="Normal 2 2 27 3 2 2" xfId="6235"/>
    <cellStyle name="Normal 2 2 27 3 2 2 10" xfId="6236"/>
    <cellStyle name="Normal 2 2 27 3 2 2 11" xfId="6237"/>
    <cellStyle name="Normal 2 2 27 3 2 2 2" xfId="6238"/>
    <cellStyle name="Normal 2 2 27 3 2 2 2 10" xfId="6239"/>
    <cellStyle name="Normal 2 2 27 3 2 2 2 11" xfId="6240"/>
    <cellStyle name="Normal 2 2 27 3 2 2 2 2" xfId="6241"/>
    <cellStyle name="Normal 2 2 27 3 2 2 2 2 2" xfId="6242"/>
    <cellStyle name="Normal 2 2 27 3 2 2 2 3" xfId="6243"/>
    <cellStyle name="Normal 2 2 27 3 2 2 2 4" xfId="6244"/>
    <cellStyle name="Normal 2 2 27 3 2 2 2 5" xfId="6245"/>
    <cellStyle name="Normal 2 2 27 3 2 2 2 6" xfId="6246"/>
    <cellStyle name="Normal 2 2 27 3 2 2 2 7" xfId="6247"/>
    <cellStyle name="Normal 2 2 27 3 2 2 2 8" xfId="6248"/>
    <cellStyle name="Normal 2 2 27 3 2 2 2 9" xfId="6249"/>
    <cellStyle name="Normal 2 2 27 3 2 2 3" xfId="6250"/>
    <cellStyle name="Normal 2 2 27 3 2 2 3 2" xfId="6251"/>
    <cellStyle name="Normal 2 2 27 3 2 2 4" xfId="6252"/>
    <cellStyle name="Normal 2 2 27 3 2 2 5" xfId="6253"/>
    <cellStyle name="Normal 2 2 27 3 2 2 6" xfId="6254"/>
    <cellStyle name="Normal 2 2 27 3 2 2 7" xfId="6255"/>
    <cellStyle name="Normal 2 2 27 3 2 2 8" xfId="6256"/>
    <cellStyle name="Normal 2 2 27 3 2 2 9" xfId="6257"/>
    <cellStyle name="Normal 2 2 27 3 2 3" xfId="6258"/>
    <cellStyle name="Normal 2 2 27 3 2 3 2" xfId="6259"/>
    <cellStyle name="Normal 2 2 27 3 2 4" xfId="6260"/>
    <cellStyle name="Normal 2 2 27 3 2 5" xfId="6261"/>
    <cellStyle name="Normal 2 2 27 3 2 6" xfId="6262"/>
    <cellStyle name="Normal 2 2 27 3 2 7" xfId="6263"/>
    <cellStyle name="Normal 2 2 27 3 2 8" xfId="6264"/>
    <cellStyle name="Normal 2 2 27 3 2 9" xfId="6265"/>
    <cellStyle name="Normal 2 2 27 3 3" xfId="6266"/>
    <cellStyle name="Normal 2 2 27 3 3 10" xfId="6267"/>
    <cellStyle name="Normal 2 2 27 3 3 11" xfId="6268"/>
    <cellStyle name="Normal 2 2 27 3 3 2" xfId="6269"/>
    <cellStyle name="Normal 2 2 27 3 3 2 2" xfId="6270"/>
    <cellStyle name="Normal 2 2 27 3 3 3" xfId="6271"/>
    <cellStyle name="Normal 2 2 27 3 3 4" xfId="6272"/>
    <cellStyle name="Normal 2 2 27 3 3 5" xfId="6273"/>
    <cellStyle name="Normal 2 2 27 3 3 6" xfId="6274"/>
    <cellStyle name="Normal 2 2 27 3 3 7" xfId="6275"/>
    <cellStyle name="Normal 2 2 27 3 3 8" xfId="6276"/>
    <cellStyle name="Normal 2 2 27 3 3 9" xfId="6277"/>
    <cellStyle name="Normal 2 2 27 3 4" xfId="6278"/>
    <cellStyle name="Normal 2 2 27 3 4 2" xfId="6279"/>
    <cellStyle name="Normal 2 2 27 3 5" xfId="6280"/>
    <cellStyle name="Normal 2 2 27 3 6" xfId="6281"/>
    <cellStyle name="Normal 2 2 27 3 7" xfId="6282"/>
    <cellStyle name="Normal 2 2 27 3 8" xfId="6283"/>
    <cellStyle name="Normal 2 2 27 3 9" xfId="6284"/>
    <cellStyle name="Normal 2 2 27 4" xfId="6285"/>
    <cellStyle name="Normal 2 2 27 4 10" xfId="6286"/>
    <cellStyle name="Normal 2 2 27 4 11" xfId="6287"/>
    <cellStyle name="Normal 2 2 27 4 2" xfId="6288"/>
    <cellStyle name="Normal 2 2 27 4 2 10" xfId="6289"/>
    <cellStyle name="Normal 2 2 27 4 2 11" xfId="6290"/>
    <cellStyle name="Normal 2 2 27 4 2 2" xfId="6291"/>
    <cellStyle name="Normal 2 2 27 4 2 2 2" xfId="6292"/>
    <cellStyle name="Normal 2 2 27 4 2 3" xfId="6293"/>
    <cellStyle name="Normal 2 2 27 4 2 4" xfId="6294"/>
    <cellStyle name="Normal 2 2 27 4 2 5" xfId="6295"/>
    <cellStyle name="Normal 2 2 27 4 2 6" xfId="6296"/>
    <cellStyle name="Normal 2 2 27 4 2 7" xfId="6297"/>
    <cellStyle name="Normal 2 2 27 4 2 8" xfId="6298"/>
    <cellStyle name="Normal 2 2 27 4 2 9" xfId="6299"/>
    <cellStyle name="Normal 2 2 27 4 3" xfId="6300"/>
    <cellStyle name="Normal 2 2 27 4 3 2" xfId="6301"/>
    <cellStyle name="Normal 2 2 27 4 4" xfId="6302"/>
    <cellStyle name="Normal 2 2 27 4 5" xfId="6303"/>
    <cellStyle name="Normal 2 2 27 4 6" xfId="6304"/>
    <cellStyle name="Normal 2 2 27 4 7" xfId="6305"/>
    <cellStyle name="Normal 2 2 27 4 8" xfId="6306"/>
    <cellStyle name="Normal 2 2 27 4 9" xfId="6307"/>
    <cellStyle name="Normal 2 2 27 5" xfId="6308"/>
    <cellStyle name="Normal 2 2 27 5 2" xfId="6309"/>
    <cellStyle name="Normal 2 2 27 6" xfId="6310"/>
    <cellStyle name="Normal 2 2 27 7" xfId="6311"/>
    <cellStyle name="Normal 2 2 27 8" xfId="6312"/>
    <cellStyle name="Normal 2 2 27 9" xfId="6313"/>
    <cellStyle name="Normal 2 2 28" xfId="6314"/>
    <cellStyle name="Normal 2 2 28 10" xfId="6315"/>
    <cellStyle name="Normal 2 2 28 11" xfId="6316"/>
    <cellStyle name="Normal 2 2 28 12" xfId="6317"/>
    <cellStyle name="Normal 2 2 28 13" xfId="6318"/>
    <cellStyle name="Normal 2 2 28 2" xfId="6319"/>
    <cellStyle name="Normal 2 2 28 2 10" xfId="6320"/>
    <cellStyle name="Normal 2 2 28 2 11" xfId="6321"/>
    <cellStyle name="Normal 2 2 28 2 12" xfId="6322"/>
    <cellStyle name="Normal 2 2 28 2 2" xfId="6323"/>
    <cellStyle name="Normal 2 2 28 2 2 10" xfId="6324"/>
    <cellStyle name="Normal 2 2 28 2 2 11" xfId="6325"/>
    <cellStyle name="Normal 2 2 28 2 2 12" xfId="6326"/>
    <cellStyle name="Normal 2 2 28 2 2 2" xfId="6327"/>
    <cellStyle name="Normal 2 2 28 2 2 2 10" xfId="6328"/>
    <cellStyle name="Normal 2 2 28 2 2 2 11" xfId="6329"/>
    <cellStyle name="Normal 2 2 28 2 2 2 2" xfId="6330"/>
    <cellStyle name="Normal 2 2 28 2 2 2 2 10" xfId="6331"/>
    <cellStyle name="Normal 2 2 28 2 2 2 2 11" xfId="6332"/>
    <cellStyle name="Normal 2 2 28 2 2 2 2 2" xfId="6333"/>
    <cellStyle name="Normal 2 2 28 2 2 2 2 2 2" xfId="6334"/>
    <cellStyle name="Normal 2 2 28 2 2 2 2 3" xfId="6335"/>
    <cellStyle name="Normal 2 2 28 2 2 2 2 4" xfId="6336"/>
    <cellStyle name="Normal 2 2 28 2 2 2 2 5" xfId="6337"/>
    <cellStyle name="Normal 2 2 28 2 2 2 2 6" xfId="6338"/>
    <cellStyle name="Normal 2 2 28 2 2 2 2 7" xfId="6339"/>
    <cellStyle name="Normal 2 2 28 2 2 2 2 8" xfId="6340"/>
    <cellStyle name="Normal 2 2 28 2 2 2 2 9" xfId="6341"/>
    <cellStyle name="Normal 2 2 28 2 2 2 3" xfId="6342"/>
    <cellStyle name="Normal 2 2 28 2 2 2 3 2" xfId="6343"/>
    <cellStyle name="Normal 2 2 28 2 2 2 4" xfId="6344"/>
    <cellStyle name="Normal 2 2 28 2 2 2 5" xfId="6345"/>
    <cellStyle name="Normal 2 2 28 2 2 2 6" xfId="6346"/>
    <cellStyle name="Normal 2 2 28 2 2 2 7" xfId="6347"/>
    <cellStyle name="Normal 2 2 28 2 2 2 8" xfId="6348"/>
    <cellStyle name="Normal 2 2 28 2 2 2 9" xfId="6349"/>
    <cellStyle name="Normal 2 2 28 2 2 3" xfId="6350"/>
    <cellStyle name="Normal 2 2 28 2 2 3 2" xfId="6351"/>
    <cellStyle name="Normal 2 2 28 2 2 4" xfId="6352"/>
    <cellStyle name="Normal 2 2 28 2 2 5" xfId="6353"/>
    <cellStyle name="Normal 2 2 28 2 2 6" xfId="6354"/>
    <cellStyle name="Normal 2 2 28 2 2 7" xfId="6355"/>
    <cellStyle name="Normal 2 2 28 2 2 8" xfId="6356"/>
    <cellStyle name="Normal 2 2 28 2 2 9" xfId="6357"/>
    <cellStyle name="Normal 2 2 28 2 3" xfId="6358"/>
    <cellStyle name="Normal 2 2 28 2 3 10" xfId="6359"/>
    <cellStyle name="Normal 2 2 28 2 3 11" xfId="6360"/>
    <cellStyle name="Normal 2 2 28 2 3 2" xfId="6361"/>
    <cellStyle name="Normal 2 2 28 2 3 2 2" xfId="6362"/>
    <cellStyle name="Normal 2 2 28 2 3 3" xfId="6363"/>
    <cellStyle name="Normal 2 2 28 2 3 4" xfId="6364"/>
    <cellStyle name="Normal 2 2 28 2 3 5" xfId="6365"/>
    <cellStyle name="Normal 2 2 28 2 3 6" xfId="6366"/>
    <cellStyle name="Normal 2 2 28 2 3 7" xfId="6367"/>
    <cellStyle name="Normal 2 2 28 2 3 8" xfId="6368"/>
    <cellStyle name="Normal 2 2 28 2 3 9" xfId="6369"/>
    <cellStyle name="Normal 2 2 28 2 4" xfId="6370"/>
    <cellStyle name="Normal 2 2 28 2 4 2" xfId="6371"/>
    <cellStyle name="Normal 2 2 28 2 5" xfId="6372"/>
    <cellStyle name="Normal 2 2 28 2 6" xfId="6373"/>
    <cellStyle name="Normal 2 2 28 2 7" xfId="6374"/>
    <cellStyle name="Normal 2 2 28 2 8" xfId="6375"/>
    <cellStyle name="Normal 2 2 28 2 9" xfId="6376"/>
    <cellStyle name="Normal 2 2 28 3" xfId="6377"/>
    <cellStyle name="Normal 2 2 28 3 10" xfId="6378"/>
    <cellStyle name="Normal 2 2 28 3 11" xfId="6379"/>
    <cellStyle name="Normal 2 2 28 3 2" xfId="6380"/>
    <cellStyle name="Normal 2 2 28 3 2 10" xfId="6381"/>
    <cellStyle name="Normal 2 2 28 3 2 11" xfId="6382"/>
    <cellStyle name="Normal 2 2 28 3 2 2" xfId="6383"/>
    <cellStyle name="Normal 2 2 28 3 2 2 2" xfId="6384"/>
    <cellStyle name="Normal 2 2 28 3 2 3" xfId="6385"/>
    <cellStyle name="Normal 2 2 28 3 2 4" xfId="6386"/>
    <cellStyle name="Normal 2 2 28 3 2 5" xfId="6387"/>
    <cellStyle name="Normal 2 2 28 3 2 6" xfId="6388"/>
    <cellStyle name="Normal 2 2 28 3 2 7" xfId="6389"/>
    <cellStyle name="Normal 2 2 28 3 2 8" xfId="6390"/>
    <cellStyle name="Normal 2 2 28 3 2 9" xfId="6391"/>
    <cellStyle name="Normal 2 2 28 3 3" xfId="6392"/>
    <cellStyle name="Normal 2 2 28 3 3 2" xfId="6393"/>
    <cellStyle name="Normal 2 2 28 3 4" xfId="6394"/>
    <cellStyle name="Normal 2 2 28 3 5" xfId="6395"/>
    <cellStyle name="Normal 2 2 28 3 6" xfId="6396"/>
    <cellStyle name="Normal 2 2 28 3 7" xfId="6397"/>
    <cellStyle name="Normal 2 2 28 3 8" xfId="6398"/>
    <cellStyle name="Normal 2 2 28 3 9" xfId="6399"/>
    <cellStyle name="Normal 2 2 28 4" xfId="6400"/>
    <cellStyle name="Normal 2 2 28 4 2" xfId="6401"/>
    <cellStyle name="Normal 2 2 28 5" xfId="6402"/>
    <cellStyle name="Normal 2 2 28 6" xfId="6403"/>
    <cellStyle name="Normal 2 2 28 7" xfId="6404"/>
    <cellStyle name="Normal 2 2 28 8" xfId="6405"/>
    <cellStyle name="Normal 2 2 28 9" xfId="6406"/>
    <cellStyle name="Normal 2 2 29" xfId="6407"/>
    <cellStyle name="Normal 2 2 29 10" xfId="6408"/>
    <cellStyle name="Normal 2 2 29 11" xfId="6409"/>
    <cellStyle name="Normal 2 2 29 12" xfId="6410"/>
    <cellStyle name="Normal 2 2 29 2" xfId="6411"/>
    <cellStyle name="Normal 2 2 29 2 10" xfId="6412"/>
    <cellStyle name="Normal 2 2 29 2 11" xfId="6413"/>
    <cellStyle name="Normal 2 2 29 2 2" xfId="6414"/>
    <cellStyle name="Normal 2 2 29 2 2 10" xfId="6415"/>
    <cellStyle name="Normal 2 2 29 2 2 11" xfId="6416"/>
    <cellStyle name="Normal 2 2 29 2 2 2" xfId="6417"/>
    <cellStyle name="Normal 2 2 29 2 2 2 2" xfId="6418"/>
    <cellStyle name="Normal 2 2 29 2 2 3" xfId="6419"/>
    <cellStyle name="Normal 2 2 29 2 2 4" xfId="6420"/>
    <cellStyle name="Normal 2 2 29 2 2 5" xfId="6421"/>
    <cellStyle name="Normal 2 2 29 2 2 6" xfId="6422"/>
    <cellStyle name="Normal 2 2 29 2 2 7" xfId="6423"/>
    <cellStyle name="Normal 2 2 29 2 2 8" xfId="6424"/>
    <cellStyle name="Normal 2 2 29 2 2 9" xfId="6425"/>
    <cellStyle name="Normal 2 2 29 2 3" xfId="6426"/>
    <cellStyle name="Normal 2 2 29 2 3 2" xfId="6427"/>
    <cellStyle name="Normal 2 2 29 2 4" xfId="6428"/>
    <cellStyle name="Normal 2 2 29 2 5" xfId="6429"/>
    <cellStyle name="Normal 2 2 29 2 6" xfId="6430"/>
    <cellStyle name="Normal 2 2 29 2 7" xfId="6431"/>
    <cellStyle name="Normal 2 2 29 2 8" xfId="6432"/>
    <cellStyle name="Normal 2 2 29 2 9" xfId="6433"/>
    <cellStyle name="Normal 2 2 29 3" xfId="6434"/>
    <cellStyle name="Normal 2 2 29 3 2" xfId="6435"/>
    <cellStyle name="Normal 2 2 29 4" xfId="6436"/>
    <cellStyle name="Normal 2 2 29 5" xfId="6437"/>
    <cellStyle name="Normal 2 2 29 6" xfId="6438"/>
    <cellStyle name="Normal 2 2 29 7" xfId="6439"/>
    <cellStyle name="Normal 2 2 29 8" xfId="6440"/>
    <cellStyle name="Normal 2 2 29 9" xfId="6441"/>
    <cellStyle name="Normal 2 2 3" xfId="6442"/>
    <cellStyle name="Normal 2 2 30" xfId="6443"/>
    <cellStyle name="Normal 2 2 30 10" xfId="6444"/>
    <cellStyle name="Normal 2 2 30 11" xfId="6445"/>
    <cellStyle name="Normal 2 2 30 2" xfId="6446"/>
    <cellStyle name="Normal 2 2 30 2 2" xfId="6447"/>
    <cellStyle name="Normal 2 2 30 3" xfId="6448"/>
    <cellStyle name="Normal 2 2 30 4" xfId="6449"/>
    <cellStyle name="Normal 2 2 30 5" xfId="6450"/>
    <cellStyle name="Normal 2 2 30 6" xfId="6451"/>
    <cellStyle name="Normal 2 2 30 7" xfId="6452"/>
    <cellStyle name="Normal 2 2 30 8" xfId="6453"/>
    <cellStyle name="Normal 2 2 30 9" xfId="6454"/>
    <cellStyle name="Normal 2 2 31" xfId="6455"/>
    <cellStyle name="Normal 2 2 31 2" xfId="6456"/>
    <cellStyle name="Normal 2 2 32" xfId="6457"/>
    <cellStyle name="Normal 2 2 33" xfId="6458"/>
    <cellStyle name="Normal 2 2 34" xfId="6459"/>
    <cellStyle name="Normal 2 2 35" xfId="6460"/>
    <cellStyle name="Normal 2 2 36" xfId="6461"/>
    <cellStyle name="Normal 2 2 37" xfId="6462"/>
    <cellStyle name="Normal 2 2 38" xfId="6463"/>
    <cellStyle name="Normal 2 2 39" xfId="6464"/>
    <cellStyle name="Normal 2 2 4" xfId="6465"/>
    <cellStyle name="Normal 2 2 40" xfId="6466"/>
    <cellStyle name="Normal 2 2 40 2" xfId="6467"/>
    <cellStyle name="Normal 2 2 41" xfId="6468"/>
    <cellStyle name="Normal 2 2 42" xfId="6469"/>
    <cellStyle name="Normal 2 2 43" xfId="6470"/>
    <cellStyle name="Normal 2 2 44" xfId="6471"/>
    <cellStyle name="Normal 2 2 45" xfId="6472"/>
    <cellStyle name="Normal 2 2 46" xfId="6473"/>
    <cellStyle name="Normal 2 2 47" xfId="6474"/>
    <cellStyle name="Normal 2 2 48" xfId="6475"/>
    <cellStyle name="Normal 2 2 49" xfId="6476"/>
    <cellStyle name="Normal 2 2 5" xfId="6477"/>
    <cellStyle name="Normal 2 2 50" xfId="6478"/>
    <cellStyle name="Normal 2 2 51" xfId="6479"/>
    <cellStyle name="Normal 2 2 52" xfId="6480"/>
    <cellStyle name="Normal 2 2 53" xfId="6481"/>
    <cellStyle name="Normal 2 2 54" xfId="6482"/>
    <cellStyle name="Normal 2 2 55" xfId="6483"/>
    <cellStyle name="Normal 2 2 56" xfId="6484"/>
    <cellStyle name="Normal 2 2 56 2" xfId="6485"/>
    <cellStyle name="Normal 2 2 57" xfId="6486"/>
    <cellStyle name="Normal 2 2 58" xfId="6487"/>
    <cellStyle name="Normal 2 2 59" xfId="6488"/>
    <cellStyle name="Normal 2 2 6" xfId="6489"/>
    <cellStyle name="Normal 2 2 60" xfId="7376"/>
    <cellStyle name="Normal 2 2 61" xfId="7377"/>
    <cellStyle name="Normal 2 2 62" xfId="7379"/>
    <cellStyle name="Normal 2 2 7" xfId="6490"/>
    <cellStyle name="Normal 2 2 7 2" xfId="6491"/>
    <cellStyle name="Normal 2 2 7 2 2" xfId="6492"/>
    <cellStyle name="Normal 2 2 8" xfId="6493"/>
    <cellStyle name="Normal 2 2 8 2" xfId="6494"/>
    <cellStyle name="Normal 2 2 9" xfId="6495"/>
    <cellStyle name="Normal 2 20" xfId="6496"/>
    <cellStyle name="Normal 2 20 2" xfId="6497"/>
    <cellStyle name="Normal 2 21" xfId="6498"/>
    <cellStyle name="Normal 2 22" xfId="6499"/>
    <cellStyle name="Normal 2 23" xfId="6500"/>
    <cellStyle name="Normal 2 24" xfId="6501"/>
    <cellStyle name="Normal 2 25" xfId="6502"/>
    <cellStyle name="Normal 2 25 10" xfId="6503"/>
    <cellStyle name="Normal 2 25 11" xfId="6504"/>
    <cellStyle name="Normal 2 25 12" xfId="6505"/>
    <cellStyle name="Normal 2 25 2" xfId="6506"/>
    <cellStyle name="Normal 2 25 3" xfId="6507"/>
    <cellStyle name="Normal 2 25 4" xfId="6508"/>
    <cellStyle name="Normal 2 25 5" xfId="6509"/>
    <cellStyle name="Normal 2 25 6" xfId="6510"/>
    <cellStyle name="Normal 2 25 7" xfId="6511"/>
    <cellStyle name="Normal 2 25 8" xfId="6512"/>
    <cellStyle name="Normal 2 25 9" xfId="6513"/>
    <cellStyle name="Normal 2 26" xfId="6514"/>
    <cellStyle name="Normal 2 27" xfId="6515"/>
    <cellStyle name="Normal 2 28" xfId="6516"/>
    <cellStyle name="Normal 2 29" xfId="6517"/>
    <cellStyle name="Normal 2 29 10" xfId="6518"/>
    <cellStyle name="Normal 2 29 11" xfId="6519"/>
    <cellStyle name="Normal 2 29 12" xfId="6520"/>
    <cellStyle name="Normal 2 29 13" xfId="6521"/>
    <cellStyle name="Normal 2 29 14" xfId="6522"/>
    <cellStyle name="Normal 2 29 15" xfId="6523"/>
    <cellStyle name="Normal 2 29 2" xfId="6524"/>
    <cellStyle name="Normal 2 29 2 10" xfId="6525"/>
    <cellStyle name="Normal 2 29 2 11" xfId="6526"/>
    <cellStyle name="Normal 2 29 2 12" xfId="6527"/>
    <cellStyle name="Normal 2 29 2 13" xfId="6528"/>
    <cellStyle name="Normal 2 29 2 14" xfId="6529"/>
    <cellStyle name="Normal 2 29 2 2" xfId="6530"/>
    <cellStyle name="Normal 2 29 2 2 10" xfId="6531"/>
    <cellStyle name="Normal 2 29 2 2 11" xfId="6532"/>
    <cellStyle name="Normal 2 29 2 2 12" xfId="6533"/>
    <cellStyle name="Normal 2 29 2 2 13" xfId="6534"/>
    <cellStyle name="Normal 2 29 2 2 14" xfId="6535"/>
    <cellStyle name="Normal 2 29 2 2 2" xfId="6536"/>
    <cellStyle name="Normal 2 29 2 2 2 10" xfId="6537"/>
    <cellStyle name="Normal 2 29 2 2 2 11" xfId="6538"/>
    <cellStyle name="Normal 2 29 2 2 2 12" xfId="6539"/>
    <cellStyle name="Normal 2 29 2 2 2 13" xfId="6540"/>
    <cellStyle name="Normal 2 29 2 2 2 2" xfId="6541"/>
    <cellStyle name="Normal 2 29 2 2 2 2 10" xfId="6542"/>
    <cellStyle name="Normal 2 29 2 2 2 2 11" xfId="6543"/>
    <cellStyle name="Normal 2 29 2 2 2 2 12" xfId="6544"/>
    <cellStyle name="Normal 2 29 2 2 2 2 13" xfId="6545"/>
    <cellStyle name="Normal 2 29 2 2 2 2 2" xfId="6546"/>
    <cellStyle name="Normal 2 29 2 2 2 2 2 10" xfId="6547"/>
    <cellStyle name="Normal 2 29 2 2 2 2 2 11" xfId="6548"/>
    <cellStyle name="Normal 2 29 2 2 2 2 2 12" xfId="6549"/>
    <cellStyle name="Normal 2 29 2 2 2 2 2 2" xfId="6550"/>
    <cellStyle name="Normal 2 29 2 2 2 2 2 2 10" xfId="6551"/>
    <cellStyle name="Normal 2 29 2 2 2 2 2 2 11" xfId="6552"/>
    <cellStyle name="Normal 2 29 2 2 2 2 2 2 12" xfId="6553"/>
    <cellStyle name="Normal 2 29 2 2 2 2 2 2 2" xfId="6554"/>
    <cellStyle name="Normal 2 29 2 2 2 2 2 2 2 10" xfId="6555"/>
    <cellStyle name="Normal 2 29 2 2 2 2 2 2 2 11" xfId="6556"/>
    <cellStyle name="Normal 2 29 2 2 2 2 2 2 2 2" xfId="6557"/>
    <cellStyle name="Normal 2 29 2 2 2 2 2 2 2 2 10" xfId="6558"/>
    <cellStyle name="Normal 2 29 2 2 2 2 2 2 2 2 11" xfId="6559"/>
    <cellStyle name="Normal 2 29 2 2 2 2 2 2 2 2 2" xfId="6560"/>
    <cellStyle name="Normal 2 29 2 2 2 2 2 2 2 2 2 2" xfId="6561"/>
    <cellStyle name="Normal 2 29 2 2 2 2 2 2 2 2 3" xfId="6562"/>
    <cellStyle name="Normal 2 29 2 2 2 2 2 2 2 2 4" xfId="6563"/>
    <cellStyle name="Normal 2 29 2 2 2 2 2 2 2 2 5" xfId="6564"/>
    <cellStyle name="Normal 2 29 2 2 2 2 2 2 2 2 6" xfId="6565"/>
    <cellStyle name="Normal 2 29 2 2 2 2 2 2 2 2 7" xfId="6566"/>
    <cellStyle name="Normal 2 29 2 2 2 2 2 2 2 2 8" xfId="6567"/>
    <cellStyle name="Normal 2 29 2 2 2 2 2 2 2 2 9" xfId="6568"/>
    <cellStyle name="Normal 2 29 2 2 2 2 2 2 2 3" xfId="6569"/>
    <cellStyle name="Normal 2 29 2 2 2 2 2 2 2 3 2" xfId="6570"/>
    <cellStyle name="Normal 2 29 2 2 2 2 2 2 2 4" xfId="6571"/>
    <cellStyle name="Normal 2 29 2 2 2 2 2 2 2 5" xfId="6572"/>
    <cellStyle name="Normal 2 29 2 2 2 2 2 2 2 6" xfId="6573"/>
    <cellStyle name="Normal 2 29 2 2 2 2 2 2 2 7" xfId="6574"/>
    <cellStyle name="Normal 2 29 2 2 2 2 2 2 2 8" xfId="6575"/>
    <cellStyle name="Normal 2 29 2 2 2 2 2 2 2 9" xfId="6576"/>
    <cellStyle name="Normal 2 29 2 2 2 2 2 2 3" xfId="6577"/>
    <cellStyle name="Normal 2 29 2 2 2 2 2 2 3 2" xfId="6578"/>
    <cellStyle name="Normal 2 29 2 2 2 2 2 2 4" xfId="6579"/>
    <cellStyle name="Normal 2 29 2 2 2 2 2 2 5" xfId="6580"/>
    <cellStyle name="Normal 2 29 2 2 2 2 2 2 6" xfId="6581"/>
    <cellStyle name="Normal 2 29 2 2 2 2 2 2 7" xfId="6582"/>
    <cellStyle name="Normal 2 29 2 2 2 2 2 2 8" xfId="6583"/>
    <cellStyle name="Normal 2 29 2 2 2 2 2 2 9" xfId="6584"/>
    <cellStyle name="Normal 2 29 2 2 2 2 2 3" xfId="6585"/>
    <cellStyle name="Normal 2 29 2 2 2 2 2 3 10" xfId="6586"/>
    <cellStyle name="Normal 2 29 2 2 2 2 2 3 11" xfId="6587"/>
    <cellStyle name="Normal 2 29 2 2 2 2 2 3 2" xfId="6588"/>
    <cellStyle name="Normal 2 29 2 2 2 2 2 3 2 2" xfId="6589"/>
    <cellStyle name="Normal 2 29 2 2 2 2 2 3 3" xfId="6590"/>
    <cellStyle name="Normal 2 29 2 2 2 2 2 3 4" xfId="6591"/>
    <cellStyle name="Normal 2 29 2 2 2 2 2 3 5" xfId="6592"/>
    <cellStyle name="Normal 2 29 2 2 2 2 2 3 6" xfId="6593"/>
    <cellStyle name="Normal 2 29 2 2 2 2 2 3 7" xfId="6594"/>
    <cellStyle name="Normal 2 29 2 2 2 2 2 3 8" xfId="6595"/>
    <cellStyle name="Normal 2 29 2 2 2 2 2 3 9" xfId="6596"/>
    <cellStyle name="Normal 2 29 2 2 2 2 2 4" xfId="6597"/>
    <cellStyle name="Normal 2 29 2 2 2 2 2 4 2" xfId="6598"/>
    <cellStyle name="Normal 2 29 2 2 2 2 2 5" xfId="6599"/>
    <cellStyle name="Normal 2 29 2 2 2 2 2 6" xfId="6600"/>
    <cellStyle name="Normal 2 29 2 2 2 2 2 7" xfId="6601"/>
    <cellStyle name="Normal 2 29 2 2 2 2 2 8" xfId="6602"/>
    <cellStyle name="Normal 2 29 2 2 2 2 2 9" xfId="6603"/>
    <cellStyle name="Normal 2 29 2 2 2 2 3" xfId="6604"/>
    <cellStyle name="Normal 2 29 2 2 2 2 3 10" xfId="6605"/>
    <cellStyle name="Normal 2 29 2 2 2 2 3 11" xfId="6606"/>
    <cellStyle name="Normal 2 29 2 2 2 2 3 2" xfId="6607"/>
    <cellStyle name="Normal 2 29 2 2 2 2 3 2 10" xfId="6608"/>
    <cellStyle name="Normal 2 29 2 2 2 2 3 2 11" xfId="6609"/>
    <cellStyle name="Normal 2 29 2 2 2 2 3 2 2" xfId="6610"/>
    <cellStyle name="Normal 2 29 2 2 2 2 3 2 2 2" xfId="6611"/>
    <cellStyle name="Normal 2 29 2 2 2 2 3 2 3" xfId="6612"/>
    <cellStyle name="Normal 2 29 2 2 2 2 3 2 4" xfId="6613"/>
    <cellStyle name="Normal 2 29 2 2 2 2 3 2 5" xfId="6614"/>
    <cellStyle name="Normal 2 29 2 2 2 2 3 2 6" xfId="6615"/>
    <cellStyle name="Normal 2 29 2 2 2 2 3 2 7" xfId="6616"/>
    <cellStyle name="Normal 2 29 2 2 2 2 3 2 8" xfId="6617"/>
    <cellStyle name="Normal 2 29 2 2 2 2 3 2 9" xfId="6618"/>
    <cellStyle name="Normal 2 29 2 2 2 2 3 3" xfId="6619"/>
    <cellStyle name="Normal 2 29 2 2 2 2 3 3 2" xfId="6620"/>
    <cellStyle name="Normal 2 29 2 2 2 2 3 4" xfId="6621"/>
    <cellStyle name="Normal 2 29 2 2 2 2 3 5" xfId="6622"/>
    <cellStyle name="Normal 2 29 2 2 2 2 3 6" xfId="6623"/>
    <cellStyle name="Normal 2 29 2 2 2 2 3 7" xfId="6624"/>
    <cellStyle name="Normal 2 29 2 2 2 2 3 8" xfId="6625"/>
    <cellStyle name="Normal 2 29 2 2 2 2 3 9" xfId="6626"/>
    <cellStyle name="Normal 2 29 2 2 2 2 4" xfId="6627"/>
    <cellStyle name="Normal 2 29 2 2 2 2 4 2" xfId="6628"/>
    <cellStyle name="Normal 2 29 2 2 2 2 5" xfId="6629"/>
    <cellStyle name="Normal 2 29 2 2 2 2 6" xfId="6630"/>
    <cellStyle name="Normal 2 29 2 2 2 2 7" xfId="6631"/>
    <cellStyle name="Normal 2 29 2 2 2 2 8" xfId="6632"/>
    <cellStyle name="Normal 2 29 2 2 2 2 9" xfId="6633"/>
    <cellStyle name="Normal 2 29 2 2 2 3" xfId="6634"/>
    <cellStyle name="Normal 2 29 2 2 2 3 10" xfId="6635"/>
    <cellStyle name="Normal 2 29 2 2 2 3 11" xfId="6636"/>
    <cellStyle name="Normal 2 29 2 2 2 3 12" xfId="6637"/>
    <cellStyle name="Normal 2 29 2 2 2 3 2" xfId="6638"/>
    <cellStyle name="Normal 2 29 2 2 2 3 2 10" xfId="6639"/>
    <cellStyle name="Normal 2 29 2 2 2 3 2 11" xfId="6640"/>
    <cellStyle name="Normal 2 29 2 2 2 3 2 2" xfId="6641"/>
    <cellStyle name="Normal 2 29 2 2 2 3 2 2 10" xfId="6642"/>
    <cellStyle name="Normal 2 29 2 2 2 3 2 2 11" xfId="6643"/>
    <cellStyle name="Normal 2 29 2 2 2 3 2 2 2" xfId="6644"/>
    <cellStyle name="Normal 2 29 2 2 2 3 2 2 2 2" xfId="6645"/>
    <cellStyle name="Normal 2 29 2 2 2 3 2 2 3" xfId="6646"/>
    <cellStyle name="Normal 2 29 2 2 2 3 2 2 4" xfId="6647"/>
    <cellStyle name="Normal 2 29 2 2 2 3 2 2 5" xfId="6648"/>
    <cellStyle name="Normal 2 29 2 2 2 3 2 2 6" xfId="6649"/>
    <cellStyle name="Normal 2 29 2 2 2 3 2 2 7" xfId="6650"/>
    <cellStyle name="Normal 2 29 2 2 2 3 2 2 8" xfId="6651"/>
    <cellStyle name="Normal 2 29 2 2 2 3 2 2 9" xfId="6652"/>
    <cellStyle name="Normal 2 29 2 2 2 3 2 3" xfId="6653"/>
    <cellStyle name="Normal 2 29 2 2 2 3 2 3 2" xfId="6654"/>
    <cellStyle name="Normal 2 29 2 2 2 3 2 4" xfId="6655"/>
    <cellStyle name="Normal 2 29 2 2 2 3 2 5" xfId="6656"/>
    <cellStyle name="Normal 2 29 2 2 2 3 2 6" xfId="6657"/>
    <cellStyle name="Normal 2 29 2 2 2 3 2 7" xfId="6658"/>
    <cellStyle name="Normal 2 29 2 2 2 3 2 8" xfId="6659"/>
    <cellStyle name="Normal 2 29 2 2 2 3 2 9" xfId="6660"/>
    <cellStyle name="Normal 2 29 2 2 2 3 3" xfId="6661"/>
    <cellStyle name="Normal 2 29 2 2 2 3 3 2" xfId="6662"/>
    <cellStyle name="Normal 2 29 2 2 2 3 4" xfId="6663"/>
    <cellStyle name="Normal 2 29 2 2 2 3 5" xfId="6664"/>
    <cellStyle name="Normal 2 29 2 2 2 3 6" xfId="6665"/>
    <cellStyle name="Normal 2 29 2 2 2 3 7" xfId="6666"/>
    <cellStyle name="Normal 2 29 2 2 2 3 8" xfId="6667"/>
    <cellStyle name="Normal 2 29 2 2 2 3 9" xfId="6668"/>
    <cellStyle name="Normal 2 29 2 2 2 4" xfId="6669"/>
    <cellStyle name="Normal 2 29 2 2 2 4 10" xfId="6670"/>
    <cellStyle name="Normal 2 29 2 2 2 4 11" xfId="6671"/>
    <cellStyle name="Normal 2 29 2 2 2 4 2" xfId="6672"/>
    <cellStyle name="Normal 2 29 2 2 2 4 2 2" xfId="6673"/>
    <cellStyle name="Normal 2 29 2 2 2 4 3" xfId="6674"/>
    <cellStyle name="Normal 2 29 2 2 2 4 4" xfId="6675"/>
    <cellStyle name="Normal 2 29 2 2 2 4 5" xfId="6676"/>
    <cellStyle name="Normal 2 29 2 2 2 4 6" xfId="6677"/>
    <cellStyle name="Normal 2 29 2 2 2 4 7" xfId="6678"/>
    <cellStyle name="Normal 2 29 2 2 2 4 8" xfId="6679"/>
    <cellStyle name="Normal 2 29 2 2 2 4 9" xfId="6680"/>
    <cellStyle name="Normal 2 29 2 2 2 5" xfId="6681"/>
    <cellStyle name="Normal 2 29 2 2 2 5 2" xfId="6682"/>
    <cellStyle name="Normal 2 29 2 2 2 6" xfId="6683"/>
    <cellStyle name="Normal 2 29 2 2 2 7" xfId="6684"/>
    <cellStyle name="Normal 2 29 2 2 2 8" xfId="6685"/>
    <cellStyle name="Normal 2 29 2 2 2 9" xfId="6686"/>
    <cellStyle name="Normal 2 29 2 2 3" xfId="6687"/>
    <cellStyle name="Normal 2 29 2 2 3 10" xfId="6688"/>
    <cellStyle name="Normal 2 29 2 2 3 11" xfId="6689"/>
    <cellStyle name="Normal 2 29 2 2 3 12" xfId="6690"/>
    <cellStyle name="Normal 2 29 2 2 3 2" xfId="6691"/>
    <cellStyle name="Normal 2 29 2 2 3 2 10" xfId="6692"/>
    <cellStyle name="Normal 2 29 2 2 3 2 11" xfId="6693"/>
    <cellStyle name="Normal 2 29 2 2 3 2 12" xfId="6694"/>
    <cellStyle name="Normal 2 29 2 2 3 2 2" xfId="6695"/>
    <cellStyle name="Normal 2 29 2 2 3 2 2 10" xfId="6696"/>
    <cellStyle name="Normal 2 29 2 2 3 2 2 11" xfId="6697"/>
    <cellStyle name="Normal 2 29 2 2 3 2 2 2" xfId="6698"/>
    <cellStyle name="Normal 2 29 2 2 3 2 2 2 10" xfId="6699"/>
    <cellStyle name="Normal 2 29 2 2 3 2 2 2 11" xfId="6700"/>
    <cellStyle name="Normal 2 29 2 2 3 2 2 2 2" xfId="6701"/>
    <cellStyle name="Normal 2 29 2 2 3 2 2 2 2 2" xfId="6702"/>
    <cellStyle name="Normal 2 29 2 2 3 2 2 2 3" xfId="6703"/>
    <cellStyle name="Normal 2 29 2 2 3 2 2 2 4" xfId="6704"/>
    <cellStyle name="Normal 2 29 2 2 3 2 2 2 5" xfId="6705"/>
    <cellStyle name="Normal 2 29 2 2 3 2 2 2 6" xfId="6706"/>
    <cellStyle name="Normal 2 29 2 2 3 2 2 2 7" xfId="6707"/>
    <cellStyle name="Normal 2 29 2 2 3 2 2 2 8" xfId="6708"/>
    <cellStyle name="Normal 2 29 2 2 3 2 2 2 9" xfId="6709"/>
    <cellStyle name="Normal 2 29 2 2 3 2 2 3" xfId="6710"/>
    <cellStyle name="Normal 2 29 2 2 3 2 2 3 2" xfId="6711"/>
    <cellStyle name="Normal 2 29 2 2 3 2 2 4" xfId="6712"/>
    <cellStyle name="Normal 2 29 2 2 3 2 2 5" xfId="6713"/>
    <cellStyle name="Normal 2 29 2 2 3 2 2 6" xfId="6714"/>
    <cellStyle name="Normal 2 29 2 2 3 2 2 7" xfId="6715"/>
    <cellStyle name="Normal 2 29 2 2 3 2 2 8" xfId="6716"/>
    <cellStyle name="Normal 2 29 2 2 3 2 2 9" xfId="6717"/>
    <cellStyle name="Normal 2 29 2 2 3 2 3" xfId="6718"/>
    <cellStyle name="Normal 2 29 2 2 3 2 3 2" xfId="6719"/>
    <cellStyle name="Normal 2 29 2 2 3 2 4" xfId="6720"/>
    <cellStyle name="Normal 2 29 2 2 3 2 5" xfId="6721"/>
    <cellStyle name="Normal 2 29 2 2 3 2 6" xfId="6722"/>
    <cellStyle name="Normal 2 29 2 2 3 2 7" xfId="6723"/>
    <cellStyle name="Normal 2 29 2 2 3 2 8" xfId="6724"/>
    <cellStyle name="Normal 2 29 2 2 3 2 9" xfId="6725"/>
    <cellStyle name="Normal 2 29 2 2 3 3" xfId="6726"/>
    <cellStyle name="Normal 2 29 2 2 3 3 10" xfId="6727"/>
    <cellStyle name="Normal 2 29 2 2 3 3 11" xfId="6728"/>
    <cellStyle name="Normal 2 29 2 2 3 3 2" xfId="6729"/>
    <cellStyle name="Normal 2 29 2 2 3 3 2 2" xfId="6730"/>
    <cellStyle name="Normal 2 29 2 2 3 3 3" xfId="6731"/>
    <cellStyle name="Normal 2 29 2 2 3 3 4" xfId="6732"/>
    <cellStyle name="Normal 2 29 2 2 3 3 5" xfId="6733"/>
    <cellStyle name="Normal 2 29 2 2 3 3 6" xfId="6734"/>
    <cellStyle name="Normal 2 29 2 2 3 3 7" xfId="6735"/>
    <cellStyle name="Normal 2 29 2 2 3 3 8" xfId="6736"/>
    <cellStyle name="Normal 2 29 2 2 3 3 9" xfId="6737"/>
    <cellStyle name="Normal 2 29 2 2 3 4" xfId="6738"/>
    <cellStyle name="Normal 2 29 2 2 3 4 2" xfId="6739"/>
    <cellStyle name="Normal 2 29 2 2 3 5" xfId="6740"/>
    <cellStyle name="Normal 2 29 2 2 3 6" xfId="6741"/>
    <cellStyle name="Normal 2 29 2 2 3 7" xfId="6742"/>
    <cellStyle name="Normal 2 29 2 2 3 8" xfId="6743"/>
    <cellStyle name="Normal 2 29 2 2 3 9" xfId="6744"/>
    <cellStyle name="Normal 2 29 2 2 4" xfId="6745"/>
    <cellStyle name="Normal 2 29 2 2 4 10" xfId="6746"/>
    <cellStyle name="Normal 2 29 2 2 4 11" xfId="6747"/>
    <cellStyle name="Normal 2 29 2 2 4 2" xfId="6748"/>
    <cellStyle name="Normal 2 29 2 2 4 2 10" xfId="6749"/>
    <cellStyle name="Normal 2 29 2 2 4 2 11" xfId="6750"/>
    <cellStyle name="Normal 2 29 2 2 4 2 2" xfId="6751"/>
    <cellStyle name="Normal 2 29 2 2 4 2 2 2" xfId="6752"/>
    <cellStyle name="Normal 2 29 2 2 4 2 3" xfId="6753"/>
    <cellStyle name="Normal 2 29 2 2 4 2 4" xfId="6754"/>
    <cellStyle name="Normal 2 29 2 2 4 2 5" xfId="6755"/>
    <cellStyle name="Normal 2 29 2 2 4 2 6" xfId="6756"/>
    <cellStyle name="Normal 2 29 2 2 4 2 7" xfId="6757"/>
    <cellStyle name="Normal 2 29 2 2 4 2 8" xfId="6758"/>
    <cellStyle name="Normal 2 29 2 2 4 2 9" xfId="6759"/>
    <cellStyle name="Normal 2 29 2 2 4 3" xfId="6760"/>
    <cellStyle name="Normal 2 29 2 2 4 3 2" xfId="6761"/>
    <cellStyle name="Normal 2 29 2 2 4 4" xfId="6762"/>
    <cellStyle name="Normal 2 29 2 2 4 5" xfId="6763"/>
    <cellStyle name="Normal 2 29 2 2 4 6" xfId="6764"/>
    <cellStyle name="Normal 2 29 2 2 4 7" xfId="6765"/>
    <cellStyle name="Normal 2 29 2 2 4 8" xfId="6766"/>
    <cellStyle name="Normal 2 29 2 2 4 9" xfId="6767"/>
    <cellStyle name="Normal 2 29 2 2 5" xfId="6768"/>
    <cellStyle name="Normal 2 29 2 2 5 2" xfId="6769"/>
    <cellStyle name="Normal 2 29 2 2 6" xfId="6770"/>
    <cellStyle name="Normal 2 29 2 2 7" xfId="6771"/>
    <cellStyle name="Normal 2 29 2 2 8" xfId="6772"/>
    <cellStyle name="Normal 2 29 2 2 9" xfId="6773"/>
    <cellStyle name="Normal 2 29 2 3" xfId="6774"/>
    <cellStyle name="Normal 2 29 2 3 10" xfId="6775"/>
    <cellStyle name="Normal 2 29 2 3 11" xfId="6776"/>
    <cellStyle name="Normal 2 29 2 3 12" xfId="6777"/>
    <cellStyle name="Normal 2 29 2 3 13" xfId="6778"/>
    <cellStyle name="Normal 2 29 2 3 2" xfId="6779"/>
    <cellStyle name="Normal 2 29 2 3 2 10" xfId="6780"/>
    <cellStyle name="Normal 2 29 2 3 2 11" xfId="6781"/>
    <cellStyle name="Normal 2 29 2 3 2 12" xfId="6782"/>
    <cellStyle name="Normal 2 29 2 3 2 2" xfId="6783"/>
    <cellStyle name="Normal 2 29 2 3 2 2 10" xfId="6784"/>
    <cellStyle name="Normal 2 29 2 3 2 2 11" xfId="6785"/>
    <cellStyle name="Normal 2 29 2 3 2 2 12" xfId="6786"/>
    <cellStyle name="Normal 2 29 2 3 2 2 2" xfId="6787"/>
    <cellStyle name="Normal 2 29 2 3 2 2 2 10" xfId="6788"/>
    <cellStyle name="Normal 2 29 2 3 2 2 2 11" xfId="6789"/>
    <cellStyle name="Normal 2 29 2 3 2 2 2 2" xfId="6790"/>
    <cellStyle name="Normal 2 29 2 3 2 2 2 2 10" xfId="6791"/>
    <cellStyle name="Normal 2 29 2 3 2 2 2 2 11" xfId="6792"/>
    <cellStyle name="Normal 2 29 2 3 2 2 2 2 2" xfId="6793"/>
    <cellStyle name="Normal 2 29 2 3 2 2 2 2 2 2" xfId="6794"/>
    <cellStyle name="Normal 2 29 2 3 2 2 2 2 3" xfId="6795"/>
    <cellStyle name="Normal 2 29 2 3 2 2 2 2 4" xfId="6796"/>
    <cellStyle name="Normal 2 29 2 3 2 2 2 2 5" xfId="6797"/>
    <cellStyle name="Normal 2 29 2 3 2 2 2 2 6" xfId="6798"/>
    <cellStyle name="Normal 2 29 2 3 2 2 2 2 7" xfId="6799"/>
    <cellStyle name="Normal 2 29 2 3 2 2 2 2 8" xfId="6800"/>
    <cellStyle name="Normal 2 29 2 3 2 2 2 2 9" xfId="6801"/>
    <cellStyle name="Normal 2 29 2 3 2 2 2 3" xfId="6802"/>
    <cellStyle name="Normal 2 29 2 3 2 2 2 3 2" xfId="6803"/>
    <cellStyle name="Normal 2 29 2 3 2 2 2 4" xfId="6804"/>
    <cellStyle name="Normal 2 29 2 3 2 2 2 5" xfId="6805"/>
    <cellStyle name="Normal 2 29 2 3 2 2 2 6" xfId="6806"/>
    <cellStyle name="Normal 2 29 2 3 2 2 2 7" xfId="6807"/>
    <cellStyle name="Normal 2 29 2 3 2 2 2 8" xfId="6808"/>
    <cellStyle name="Normal 2 29 2 3 2 2 2 9" xfId="6809"/>
    <cellStyle name="Normal 2 29 2 3 2 2 3" xfId="6810"/>
    <cellStyle name="Normal 2 29 2 3 2 2 3 2" xfId="6811"/>
    <cellStyle name="Normal 2 29 2 3 2 2 4" xfId="6812"/>
    <cellStyle name="Normal 2 29 2 3 2 2 5" xfId="6813"/>
    <cellStyle name="Normal 2 29 2 3 2 2 6" xfId="6814"/>
    <cellStyle name="Normal 2 29 2 3 2 2 7" xfId="6815"/>
    <cellStyle name="Normal 2 29 2 3 2 2 8" xfId="6816"/>
    <cellStyle name="Normal 2 29 2 3 2 2 9" xfId="6817"/>
    <cellStyle name="Normal 2 29 2 3 2 3" xfId="6818"/>
    <cellStyle name="Normal 2 29 2 3 2 3 10" xfId="6819"/>
    <cellStyle name="Normal 2 29 2 3 2 3 11" xfId="6820"/>
    <cellStyle name="Normal 2 29 2 3 2 3 2" xfId="6821"/>
    <cellStyle name="Normal 2 29 2 3 2 3 2 2" xfId="6822"/>
    <cellStyle name="Normal 2 29 2 3 2 3 3" xfId="6823"/>
    <cellStyle name="Normal 2 29 2 3 2 3 4" xfId="6824"/>
    <cellStyle name="Normal 2 29 2 3 2 3 5" xfId="6825"/>
    <cellStyle name="Normal 2 29 2 3 2 3 6" xfId="6826"/>
    <cellStyle name="Normal 2 29 2 3 2 3 7" xfId="6827"/>
    <cellStyle name="Normal 2 29 2 3 2 3 8" xfId="6828"/>
    <cellStyle name="Normal 2 29 2 3 2 3 9" xfId="6829"/>
    <cellStyle name="Normal 2 29 2 3 2 4" xfId="6830"/>
    <cellStyle name="Normal 2 29 2 3 2 4 2" xfId="6831"/>
    <cellStyle name="Normal 2 29 2 3 2 5" xfId="6832"/>
    <cellStyle name="Normal 2 29 2 3 2 6" xfId="6833"/>
    <cellStyle name="Normal 2 29 2 3 2 7" xfId="6834"/>
    <cellStyle name="Normal 2 29 2 3 2 8" xfId="6835"/>
    <cellStyle name="Normal 2 29 2 3 2 9" xfId="6836"/>
    <cellStyle name="Normal 2 29 2 3 3" xfId="6837"/>
    <cellStyle name="Normal 2 29 2 3 3 10" xfId="6838"/>
    <cellStyle name="Normal 2 29 2 3 3 11" xfId="6839"/>
    <cellStyle name="Normal 2 29 2 3 3 2" xfId="6840"/>
    <cellStyle name="Normal 2 29 2 3 3 2 10" xfId="6841"/>
    <cellStyle name="Normal 2 29 2 3 3 2 11" xfId="6842"/>
    <cellStyle name="Normal 2 29 2 3 3 2 2" xfId="6843"/>
    <cellStyle name="Normal 2 29 2 3 3 2 2 2" xfId="6844"/>
    <cellStyle name="Normal 2 29 2 3 3 2 3" xfId="6845"/>
    <cellStyle name="Normal 2 29 2 3 3 2 4" xfId="6846"/>
    <cellStyle name="Normal 2 29 2 3 3 2 5" xfId="6847"/>
    <cellStyle name="Normal 2 29 2 3 3 2 6" xfId="6848"/>
    <cellStyle name="Normal 2 29 2 3 3 2 7" xfId="6849"/>
    <cellStyle name="Normal 2 29 2 3 3 2 8" xfId="6850"/>
    <cellStyle name="Normal 2 29 2 3 3 2 9" xfId="6851"/>
    <cellStyle name="Normal 2 29 2 3 3 3" xfId="6852"/>
    <cellStyle name="Normal 2 29 2 3 3 3 2" xfId="6853"/>
    <cellStyle name="Normal 2 29 2 3 3 4" xfId="6854"/>
    <cellStyle name="Normal 2 29 2 3 3 5" xfId="6855"/>
    <cellStyle name="Normal 2 29 2 3 3 6" xfId="6856"/>
    <cellStyle name="Normal 2 29 2 3 3 7" xfId="6857"/>
    <cellStyle name="Normal 2 29 2 3 3 8" xfId="6858"/>
    <cellStyle name="Normal 2 29 2 3 3 9" xfId="6859"/>
    <cellStyle name="Normal 2 29 2 3 4" xfId="6860"/>
    <cellStyle name="Normal 2 29 2 3 4 2" xfId="6861"/>
    <cellStyle name="Normal 2 29 2 3 5" xfId="6862"/>
    <cellStyle name="Normal 2 29 2 3 6" xfId="6863"/>
    <cellStyle name="Normal 2 29 2 3 7" xfId="6864"/>
    <cellStyle name="Normal 2 29 2 3 8" xfId="6865"/>
    <cellStyle name="Normal 2 29 2 3 9" xfId="6866"/>
    <cellStyle name="Normal 2 29 2 4" xfId="6867"/>
    <cellStyle name="Normal 2 29 2 4 10" xfId="6868"/>
    <cellStyle name="Normal 2 29 2 4 11" xfId="6869"/>
    <cellStyle name="Normal 2 29 2 4 12" xfId="6870"/>
    <cellStyle name="Normal 2 29 2 4 2" xfId="6871"/>
    <cellStyle name="Normal 2 29 2 4 2 10" xfId="6872"/>
    <cellStyle name="Normal 2 29 2 4 2 11" xfId="6873"/>
    <cellStyle name="Normal 2 29 2 4 2 2" xfId="6874"/>
    <cellStyle name="Normal 2 29 2 4 2 2 10" xfId="6875"/>
    <cellStyle name="Normal 2 29 2 4 2 2 11" xfId="6876"/>
    <cellStyle name="Normal 2 29 2 4 2 2 2" xfId="6877"/>
    <cellStyle name="Normal 2 29 2 4 2 2 2 2" xfId="6878"/>
    <cellStyle name="Normal 2 29 2 4 2 2 3" xfId="6879"/>
    <cellStyle name="Normal 2 29 2 4 2 2 4" xfId="6880"/>
    <cellStyle name="Normal 2 29 2 4 2 2 5" xfId="6881"/>
    <cellStyle name="Normal 2 29 2 4 2 2 6" xfId="6882"/>
    <cellStyle name="Normal 2 29 2 4 2 2 7" xfId="6883"/>
    <cellStyle name="Normal 2 29 2 4 2 2 8" xfId="6884"/>
    <cellStyle name="Normal 2 29 2 4 2 2 9" xfId="6885"/>
    <cellStyle name="Normal 2 29 2 4 2 3" xfId="6886"/>
    <cellStyle name="Normal 2 29 2 4 2 3 2" xfId="6887"/>
    <cellStyle name="Normal 2 29 2 4 2 4" xfId="6888"/>
    <cellStyle name="Normal 2 29 2 4 2 5" xfId="6889"/>
    <cellStyle name="Normal 2 29 2 4 2 6" xfId="6890"/>
    <cellStyle name="Normal 2 29 2 4 2 7" xfId="6891"/>
    <cellStyle name="Normal 2 29 2 4 2 8" xfId="6892"/>
    <cellStyle name="Normal 2 29 2 4 2 9" xfId="6893"/>
    <cellStyle name="Normal 2 29 2 4 3" xfId="6894"/>
    <cellStyle name="Normal 2 29 2 4 3 2" xfId="6895"/>
    <cellStyle name="Normal 2 29 2 4 4" xfId="6896"/>
    <cellStyle name="Normal 2 29 2 4 5" xfId="6897"/>
    <cellStyle name="Normal 2 29 2 4 6" xfId="6898"/>
    <cellStyle name="Normal 2 29 2 4 7" xfId="6899"/>
    <cellStyle name="Normal 2 29 2 4 8" xfId="6900"/>
    <cellStyle name="Normal 2 29 2 4 9" xfId="6901"/>
    <cellStyle name="Normal 2 29 2 5" xfId="6902"/>
    <cellStyle name="Normal 2 29 2 5 10" xfId="6903"/>
    <cellStyle name="Normal 2 29 2 5 11" xfId="6904"/>
    <cellStyle name="Normal 2 29 2 5 2" xfId="6905"/>
    <cellStyle name="Normal 2 29 2 5 2 2" xfId="6906"/>
    <cellStyle name="Normal 2 29 2 5 3" xfId="6907"/>
    <cellStyle name="Normal 2 29 2 5 4" xfId="6908"/>
    <cellStyle name="Normal 2 29 2 5 5" xfId="6909"/>
    <cellStyle name="Normal 2 29 2 5 6" xfId="6910"/>
    <cellStyle name="Normal 2 29 2 5 7" xfId="6911"/>
    <cellStyle name="Normal 2 29 2 5 8" xfId="6912"/>
    <cellStyle name="Normal 2 29 2 5 9" xfId="6913"/>
    <cellStyle name="Normal 2 29 2 6" xfId="6914"/>
    <cellStyle name="Normal 2 29 2 6 2" xfId="6915"/>
    <cellStyle name="Normal 2 29 2 7" xfId="6916"/>
    <cellStyle name="Normal 2 29 2 8" xfId="6917"/>
    <cellStyle name="Normal 2 29 2 9" xfId="6918"/>
    <cellStyle name="Normal 2 29 3" xfId="6919"/>
    <cellStyle name="Normal 2 29 3 10" xfId="6920"/>
    <cellStyle name="Normal 2 29 3 11" xfId="6921"/>
    <cellStyle name="Normal 2 29 3 12" xfId="6922"/>
    <cellStyle name="Normal 2 29 3 13" xfId="6923"/>
    <cellStyle name="Normal 2 29 3 2" xfId="6924"/>
    <cellStyle name="Normal 2 29 3 2 10" xfId="6925"/>
    <cellStyle name="Normal 2 29 3 2 11" xfId="6926"/>
    <cellStyle name="Normal 2 29 3 2 12" xfId="6927"/>
    <cellStyle name="Normal 2 29 3 2 13" xfId="6928"/>
    <cellStyle name="Normal 2 29 3 2 2" xfId="6929"/>
    <cellStyle name="Normal 2 29 3 2 2 10" xfId="6930"/>
    <cellStyle name="Normal 2 29 3 2 2 11" xfId="6931"/>
    <cellStyle name="Normal 2 29 3 2 2 12" xfId="6932"/>
    <cellStyle name="Normal 2 29 3 2 2 2" xfId="6933"/>
    <cellStyle name="Normal 2 29 3 2 2 2 10" xfId="6934"/>
    <cellStyle name="Normal 2 29 3 2 2 2 11" xfId="6935"/>
    <cellStyle name="Normal 2 29 3 2 2 2 12" xfId="6936"/>
    <cellStyle name="Normal 2 29 3 2 2 2 2" xfId="6937"/>
    <cellStyle name="Normal 2 29 3 2 2 2 2 10" xfId="6938"/>
    <cellStyle name="Normal 2 29 3 2 2 2 2 11" xfId="6939"/>
    <cellStyle name="Normal 2 29 3 2 2 2 2 2" xfId="6940"/>
    <cellStyle name="Normal 2 29 3 2 2 2 2 2 10" xfId="6941"/>
    <cellStyle name="Normal 2 29 3 2 2 2 2 2 11" xfId="6942"/>
    <cellStyle name="Normal 2 29 3 2 2 2 2 2 2" xfId="6943"/>
    <cellStyle name="Normal 2 29 3 2 2 2 2 2 2 2" xfId="6944"/>
    <cellStyle name="Normal 2 29 3 2 2 2 2 2 3" xfId="6945"/>
    <cellStyle name="Normal 2 29 3 2 2 2 2 2 4" xfId="6946"/>
    <cellStyle name="Normal 2 29 3 2 2 2 2 2 5" xfId="6947"/>
    <cellStyle name="Normal 2 29 3 2 2 2 2 2 6" xfId="6948"/>
    <cellStyle name="Normal 2 29 3 2 2 2 2 2 7" xfId="6949"/>
    <cellStyle name="Normal 2 29 3 2 2 2 2 2 8" xfId="6950"/>
    <cellStyle name="Normal 2 29 3 2 2 2 2 2 9" xfId="6951"/>
    <cellStyle name="Normal 2 29 3 2 2 2 2 3" xfId="6952"/>
    <cellStyle name="Normal 2 29 3 2 2 2 2 3 2" xfId="6953"/>
    <cellStyle name="Normal 2 29 3 2 2 2 2 4" xfId="6954"/>
    <cellStyle name="Normal 2 29 3 2 2 2 2 5" xfId="6955"/>
    <cellStyle name="Normal 2 29 3 2 2 2 2 6" xfId="6956"/>
    <cellStyle name="Normal 2 29 3 2 2 2 2 7" xfId="6957"/>
    <cellStyle name="Normal 2 29 3 2 2 2 2 8" xfId="6958"/>
    <cellStyle name="Normal 2 29 3 2 2 2 2 9" xfId="6959"/>
    <cellStyle name="Normal 2 29 3 2 2 2 3" xfId="6960"/>
    <cellStyle name="Normal 2 29 3 2 2 2 3 2" xfId="6961"/>
    <cellStyle name="Normal 2 29 3 2 2 2 4" xfId="6962"/>
    <cellStyle name="Normal 2 29 3 2 2 2 5" xfId="6963"/>
    <cellStyle name="Normal 2 29 3 2 2 2 6" xfId="6964"/>
    <cellStyle name="Normal 2 29 3 2 2 2 7" xfId="6965"/>
    <cellStyle name="Normal 2 29 3 2 2 2 8" xfId="6966"/>
    <cellStyle name="Normal 2 29 3 2 2 2 9" xfId="6967"/>
    <cellStyle name="Normal 2 29 3 2 2 3" xfId="6968"/>
    <cellStyle name="Normal 2 29 3 2 2 3 10" xfId="6969"/>
    <cellStyle name="Normal 2 29 3 2 2 3 11" xfId="6970"/>
    <cellStyle name="Normal 2 29 3 2 2 3 2" xfId="6971"/>
    <cellStyle name="Normal 2 29 3 2 2 3 2 2" xfId="6972"/>
    <cellStyle name="Normal 2 29 3 2 2 3 3" xfId="6973"/>
    <cellStyle name="Normal 2 29 3 2 2 3 4" xfId="6974"/>
    <cellStyle name="Normal 2 29 3 2 2 3 5" xfId="6975"/>
    <cellStyle name="Normal 2 29 3 2 2 3 6" xfId="6976"/>
    <cellStyle name="Normal 2 29 3 2 2 3 7" xfId="6977"/>
    <cellStyle name="Normal 2 29 3 2 2 3 8" xfId="6978"/>
    <cellStyle name="Normal 2 29 3 2 2 3 9" xfId="6979"/>
    <cellStyle name="Normal 2 29 3 2 2 4" xfId="6980"/>
    <cellStyle name="Normal 2 29 3 2 2 4 2" xfId="6981"/>
    <cellStyle name="Normal 2 29 3 2 2 5" xfId="6982"/>
    <cellStyle name="Normal 2 29 3 2 2 6" xfId="6983"/>
    <cellStyle name="Normal 2 29 3 2 2 7" xfId="6984"/>
    <cellStyle name="Normal 2 29 3 2 2 8" xfId="6985"/>
    <cellStyle name="Normal 2 29 3 2 2 9" xfId="6986"/>
    <cellStyle name="Normal 2 29 3 2 3" xfId="6987"/>
    <cellStyle name="Normal 2 29 3 2 3 10" xfId="6988"/>
    <cellStyle name="Normal 2 29 3 2 3 11" xfId="6989"/>
    <cellStyle name="Normal 2 29 3 2 3 2" xfId="6990"/>
    <cellStyle name="Normal 2 29 3 2 3 2 10" xfId="6991"/>
    <cellStyle name="Normal 2 29 3 2 3 2 11" xfId="6992"/>
    <cellStyle name="Normal 2 29 3 2 3 2 2" xfId="6993"/>
    <cellStyle name="Normal 2 29 3 2 3 2 2 2" xfId="6994"/>
    <cellStyle name="Normal 2 29 3 2 3 2 3" xfId="6995"/>
    <cellStyle name="Normal 2 29 3 2 3 2 4" xfId="6996"/>
    <cellStyle name="Normal 2 29 3 2 3 2 5" xfId="6997"/>
    <cellStyle name="Normal 2 29 3 2 3 2 6" xfId="6998"/>
    <cellStyle name="Normal 2 29 3 2 3 2 7" xfId="6999"/>
    <cellStyle name="Normal 2 29 3 2 3 2 8" xfId="7000"/>
    <cellStyle name="Normal 2 29 3 2 3 2 9" xfId="7001"/>
    <cellStyle name="Normal 2 29 3 2 3 3" xfId="7002"/>
    <cellStyle name="Normal 2 29 3 2 3 3 2" xfId="7003"/>
    <cellStyle name="Normal 2 29 3 2 3 4" xfId="7004"/>
    <cellStyle name="Normal 2 29 3 2 3 5" xfId="7005"/>
    <cellStyle name="Normal 2 29 3 2 3 6" xfId="7006"/>
    <cellStyle name="Normal 2 29 3 2 3 7" xfId="7007"/>
    <cellStyle name="Normal 2 29 3 2 3 8" xfId="7008"/>
    <cellStyle name="Normal 2 29 3 2 3 9" xfId="7009"/>
    <cellStyle name="Normal 2 29 3 2 4" xfId="7010"/>
    <cellStyle name="Normal 2 29 3 2 4 2" xfId="7011"/>
    <cellStyle name="Normal 2 29 3 2 5" xfId="7012"/>
    <cellStyle name="Normal 2 29 3 2 6" xfId="7013"/>
    <cellStyle name="Normal 2 29 3 2 7" xfId="7014"/>
    <cellStyle name="Normal 2 29 3 2 8" xfId="7015"/>
    <cellStyle name="Normal 2 29 3 2 9" xfId="7016"/>
    <cellStyle name="Normal 2 29 3 3" xfId="7017"/>
    <cellStyle name="Normal 2 29 3 3 10" xfId="7018"/>
    <cellStyle name="Normal 2 29 3 3 11" xfId="7019"/>
    <cellStyle name="Normal 2 29 3 3 12" xfId="7020"/>
    <cellStyle name="Normal 2 29 3 3 2" xfId="7021"/>
    <cellStyle name="Normal 2 29 3 3 2 10" xfId="7022"/>
    <cellStyle name="Normal 2 29 3 3 2 11" xfId="7023"/>
    <cellStyle name="Normal 2 29 3 3 2 2" xfId="7024"/>
    <cellStyle name="Normal 2 29 3 3 2 2 10" xfId="7025"/>
    <cellStyle name="Normal 2 29 3 3 2 2 11" xfId="7026"/>
    <cellStyle name="Normal 2 29 3 3 2 2 2" xfId="7027"/>
    <cellStyle name="Normal 2 29 3 3 2 2 2 2" xfId="7028"/>
    <cellStyle name="Normal 2 29 3 3 2 2 3" xfId="7029"/>
    <cellStyle name="Normal 2 29 3 3 2 2 4" xfId="7030"/>
    <cellStyle name="Normal 2 29 3 3 2 2 5" xfId="7031"/>
    <cellStyle name="Normal 2 29 3 3 2 2 6" xfId="7032"/>
    <cellStyle name="Normal 2 29 3 3 2 2 7" xfId="7033"/>
    <cellStyle name="Normal 2 29 3 3 2 2 8" xfId="7034"/>
    <cellStyle name="Normal 2 29 3 3 2 2 9" xfId="7035"/>
    <cellStyle name="Normal 2 29 3 3 2 3" xfId="7036"/>
    <cellStyle name="Normal 2 29 3 3 2 3 2" xfId="7037"/>
    <cellStyle name="Normal 2 29 3 3 2 4" xfId="7038"/>
    <cellStyle name="Normal 2 29 3 3 2 5" xfId="7039"/>
    <cellStyle name="Normal 2 29 3 3 2 6" xfId="7040"/>
    <cellStyle name="Normal 2 29 3 3 2 7" xfId="7041"/>
    <cellStyle name="Normal 2 29 3 3 2 8" xfId="7042"/>
    <cellStyle name="Normal 2 29 3 3 2 9" xfId="7043"/>
    <cellStyle name="Normal 2 29 3 3 3" xfId="7044"/>
    <cellStyle name="Normal 2 29 3 3 3 2" xfId="7045"/>
    <cellStyle name="Normal 2 29 3 3 4" xfId="7046"/>
    <cellStyle name="Normal 2 29 3 3 5" xfId="7047"/>
    <cellStyle name="Normal 2 29 3 3 6" xfId="7048"/>
    <cellStyle name="Normal 2 29 3 3 7" xfId="7049"/>
    <cellStyle name="Normal 2 29 3 3 8" xfId="7050"/>
    <cellStyle name="Normal 2 29 3 3 9" xfId="7051"/>
    <cellStyle name="Normal 2 29 3 4" xfId="7052"/>
    <cellStyle name="Normal 2 29 3 4 10" xfId="7053"/>
    <cellStyle name="Normal 2 29 3 4 11" xfId="7054"/>
    <cellStyle name="Normal 2 29 3 4 2" xfId="7055"/>
    <cellStyle name="Normal 2 29 3 4 2 2" xfId="7056"/>
    <cellStyle name="Normal 2 29 3 4 3" xfId="7057"/>
    <cellStyle name="Normal 2 29 3 4 4" xfId="7058"/>
    <cellStyle name="Normal 2 29 3 4 5" xfId="7059"/>
    <cellStyle name="Normal 2 29 3 4 6" xfId="7060"/>
    <cellStyle name="Normal 2 29 3 4 7" xfId="7061"/>
    <cellStyle name="Normal 2 29 3 4 8" xfId="7062"/>
    <cellStyle name="Normal 2 29 3 4 9" xfId="7063"/>
    <cellStyle name="Normal 2 29 3 5" xfId="7064"/>
    <cellStyle name="Normal 2 29 3 5 2" xfId="7065"/>
    <cellStyle name="Normal 2 29 3 6" xfId="7066"/>
    <cellStyle name="Normal 2 29 3 7" xfId="7067"/>
    <cellStyle name="Normal 2 29 3 8" xfId="7068"/>
    <cellStyle name="Normal 2 29 3 9" xfId="7069"/>
    <cellStyle name="Normal 2 29 4" xfId="7070"/>
    <cellStyle name="Normal 2 29 4 10" xfId="7071"/>
    <cellStyle name="Normal 2 29 4 11" xfId="7072"/>
    <cellStyle name="Normal 2 29 4 12" xfId="7073"/>
    <cellStyle name="Normal 2 29 4 2" xfId="7074"/>
    <cellStyle name="Normal 2 29 4 2 10" xfId="7075"/>
    <cellStyle name="Normal 2 29 4 2 11" xfId="7076"/>
    <cellStyle name="Normal 2 29 4 2 12" xfId="7077"/>
    <cellStyle name="Normal 2 29 4 2 2" xfId="7078"/>
    <cellStyle name="Normal 2 29 4 2 2 10" xfId="7079"/>
    <cellStyle name="Normal 2 29 4 2 2 11" xfId="7080"/>
    <cellStyle name="Normal 2 29 4 2 2 2" xfId="7081"/>
    <cellStyle name="Normal 2 29 4 2 2 2 10" xfId="7082"/>
    <cellStyle name="Normal 2 29 4 2 2 2 11" xfId="7083"/>
    <cellStyle name="Normal 2 29 4 2 2 2 2" xfId="7084"/>
    <cellStyle name="Normal 2 29 4 2 2 2 2 2" xfId="7085"/>
    <cellStyle name="Normal 2 29 4 2 2 2 3" xfId="7086"/>
    <cellStyle name="Normal 2 29 4 2 2 2 4" xfId="7087"/>
    <cellStyle name="Normal 2 29 4 2 2 2 5" xfId="7088"/>
    <cellStyle name="Normal 2 29 4 2 2 2 6" xfId="7089"/>
    <cellStyle name="Normal 2 29 4 2 2 2 7" xfId="7090"/>
    <cellStyle name="Normal 2 29 4 2 2 2 8" xfId="7091"/>
    <cellStyle name="Normal 2 29 4 2 2 2 9" xfId="7092"/>
    <cellStyle name="Normal 2 29 4 2 2 3" xfId="7093"/>
    <cellStyle name="Normal 2 29 4 2 2 3 2" xfId="7094"/>
    <cellStyle name="Normal 2 29 4 2 2 4" xfId="7095"/>
    <cellStyle name="Normal 2 29 4 2 2 5" xfId="7096"/>
    <cellStyle name="Normal 2 29 4 2 2 6" xfId="7097"/>
    <cellStyle name="Normal 2 29 4 2 2 7" xfId="7098"/>
    <cellStyle name="Normal 2 29 4 2 2 8" xfId="7099"/>
    <cellStyle name="Normal 2 29 4 2 2 9" xfId="7100"/>
    <cellStyle name="Normal 2 29 4 2 3" xfId="7101"/>
    <cellStyle name="Normal 2 29 4 2 3 2" xfId="7102"/>
    <cellStyle name="Normal 2 29 4 2 4" xfId="7103"/>
    <cellStyle name="Normal 2 29 4 2 5" xfId="7104"/>
    <cellStyle name="Normal 2 29 4 2 6" xfId="7105"/>
    <cellStyle name="Normal 2 29 4 2 7" xfId="7106"/>
    <cellStyle name="Normal 2 29 4 2 8" xfId="7107"/>
    <cellStyle name="Normal 2 29 4 2 9" xfId="7108"/>
    <cellStyle name="Normal 2 29 4 3" xfId="7109"/>
    <cellStyle name="Normal 2 29 4 3 10" xfId="7110"/>
    <cellStyle name="Normal 2 29 4 3 11" xfId="7111"/>
    <cellStyle name="Normal 2 29 4 3 2" xfId="7112"/>
    <cellStyle name="Normal 2 29 4 3 2 2" xfId="7113"/>
    <cellStyle name="Normal 2 29 4 3 3" xfId="7114"/>
    <cellStyle name="Normal 2 29 4 3 4" xfId="7115"/>
    <cellStyle name="Normal 2 29 4 3 5" xfId="7116"/>
    <cellStyle name="Normal 2 29 4 3 6" xfId="7117"/>
    <cellStyle name="Normal 2 29 4 3 7" xfId="7118"/>
    <cellStyle name="Normal 2 29 4 3 8" xfId="7119"/>
    <cellStyle name="Normal 2 29 4 3 9" xfId="7120"/>
    <cellStyle name="Normal 2 29 4 4" xfId="7121"/>
    <cellStyle name="Normal 2 29 4 4 2" xfId="7122"/>
    <cellStyle name="Normal 2 29 4 5" xfId="7123"/>
    <cellStyle name="Normal 2 29 4 6" xfId="7124"/>
    <cellStyle name="Normal 2 29 4 7" xfId="7125"/>
    <cellStyle name="Normal 2 29 4 8" xfId="7126"/>
    <cellStyle name="Normal 2 29 4 9" xfId="7127"/>
    <cellStyle name="Normal 2 29 5" xfId="7128"/>
    <cellStyle name="Normal 2 29 5 10" xfId="7129"/>
    <cellStyle name="Normal 2 29 5 11" xfId="7130"/>
    <cellStyle name="Normal 2 29 5 2" xfId="7131"/>
    <cellStyle name="Normal 2 29 5 2 10" xfId="7132"/>
    <cellStyle name="Normal 2 29 5 2 11" xfId="7133"/>
    <cellStyle name="Normal 2 29 5 2 2" xfId="7134"/>
    <cellStyle name="Normal 2 29 5 2 2 2" xfId="7135"/>
    <cellStyle name="Normal 2 29 5 2 3" xfId="7136"/>
    <cellStyle name="Normal 2 29 5 2 4" xfId="7137"/>
    <cellStyle name="Normal 2 29 5 2 5" xfId="7138"/>
    <cellStyle name="Normal 2 29 5 2 6" xfId="7139"/>
    <cellStyle name="Normal 2 29 5 2 7" xfId="7140"/>
    <cellStyle name="Normal 2 29 5 2 8" xfId="7141"/>
    <cellStyle name="Normal 2 29 5 2 9" xfId="7142"/>
    <cellStyle name="Normal 2 29 5 3" xfId="7143"/>
    <cellStyle name="Normal 2 29 5 3 2" xfId="7144"/>
    <cellStyle name="Normal 2 29 5 4" xfId="7145"/>
    <cellStyle name="Normal 2 29 5 5" xfId="7146"/>
    <cellStyle name="Normal 2 29 5 6" xfId="7147"/>
    <cellStyle name="Normal 2 29 5 7" xfId="7148"/>
    <cellStyle name="Normal 2 29 5 8" xfId="7149"/>
    <cellStyle name="Normal 2 29 5 9" xfId="7150"/>
    <cellStyle name="Normal 2 29 6" xfId="7151"/>
    <cellStyle name="Normal 2 29 6 2" xfId="7152"/>
    <cellStyle name="Normal 2 29 7" xfId="7153"/>
    <cellStyle name="Normal 2 29 8" xfId="7154"/>
    <cellStyle name="Normal 2 29 9" xfId="7155"/>
    <cellStyle name="Normal 2 3" xfId="7156"/>
    <cellStyle name="Normal 2 3 10" xfId="7157"/>
    <cellStyle name="Normal 2 3 11" xfId="7158"/>
    <cellStyle name="Normal 2 3 12" xfId="7159"/>
    <cellStyle name="Normal 2 3 13" xfId="7160"/>
    <cellStyle name="Normal 2 3 14" xfId="7161"/>
    <cellStyle name="Normal 2 3 15" xfId="7162"/>
    <cellStyle name="Normal 2 3 16" xfId="7163"/>
    <cellStyle name="Normal 2 3 17" xfId="7164"/>
    <cellStyle name="Normal 2 3 18" xfId="7165"/>
    <cellStyle name="Normal 2 3 2" xfId="7166"/>
    <cellStyle name="Normal 2 3 3" xfId="7167"/>
    <cellStyle name="Normal 2 3 4" xfId="7168"/>
    <cellStyle name="Normal 2 3 5" xfId="7169"/>
    <cellStyle name="Normal 2 3 6" xfId="7170"/>
    <cellStyle name="Normal 2 3 7" xfId="7171"/>
    <cellStyle name="Normal 2 3 8" xfId="7172"/>
    <cellStyle name="Normal 2 3 9" xfId="7173"/>
    <cellStyle name="Normal 2 30" xfId="7174"/>
    <cellStyle name="Normal 2 31" xfId="7175"/>
    <cellStyle name="Normal 2 32" xfId="7176"/>
    <cellStyle name="Normal 2 33" xfId="7177"/>
    <cellStyle name="Normal 2 34" xfId="7178"/>
    <cellStyle name="Normal 2 35" xfId="7179"/>
    <cellStyle name="Normal 2 36" xfId="7180"/>
    <cellStyle name="Normal 2 37" xfId="7181"/>
    <cellStyle name="Normal 2 38" xfId="7182"/>
    <cellStyle name="Normal 2 39" xfId="7183"/>
    <cellStyle name="Normal 2 4" xfId="7184"/>
    <cellStyle name="Normal 2 40" xfId="7185"/>
    <cellStyle name="Normal 2 41" xfId="7186"/>
    <cellStyle name="Normal 2 42" xfId="7187"/>
    <cellStyle name="Normal 2 43" xfId="7188"/>
    <cellStyle name="Normal 2 43 2" xfId="7189"/>
    <cellStyle name="Normal 2 44" xfId="7190"/>
    <cellStyle name="Normal 2 45" xfId="7191"/>
    <cellStyle name="Normal 2 46" xfId="7192"/>
    <cellStyle name="Normal 2 47" xfId="7193"/>
    <cellStyle name="Normal 2 48" xfId="7194"/>
    <cellStyle name="Normal 2 49" xfId="7195"/>
    <cellStyle name="Normal 2 5" xfId="7196"/>
    <cellStyle name="Normal 2 50" xfId="7197"/>
    <cellStyle name="Normal 2 51" xfId="7198"/>
    <cellStyle name="Normal 2 52" xfId="7199"/>
    <cellStyle name="Normal 2 53" xfId="7200"/>
    <cellStyle name="Normal 2 54" xfId="7201"/>
    <cellStyle name="Normal 2 55" xfId="7202"/>
    <cellStyle name="Normal 2 56" xfId="7203"/>
    <cellStyle name="Normal 2 57" xfId="7204"/>
    <cellStyle name="Normal 2 58" xfId="7205"/>
    <cellStyle name="Normal 2 59" xfId="7206"/>
    <cellStyle name="Normal 2 59 2" xfId="7207"/>
    <cellStyle name="Normal 2 6" xfId="7208"/>
    <cellStyle name="Normal 2 60" xfId="7209"/>
    <cellStyle name="Normal 2 61" xfId="7210"/>
    <cellStyle name="Normal 2 62" xfId="7211"/>
    <cellStyle name="Normal 2 63" xfId="7378"/>
    <cellStyle name="Normal 2 7" xfId="3"/>
    <cellStyle name="Normal 2 7 2" xfId="7212"/>
    <cellStyle name="Normal 2 8" xfId="7213"/>
    <cellStyle name="Normal 2 8 2" xfId="7214"/>
    <cellStyle name="Normal 2 8 2 2" xfId="7215"/>
    <cellStyle name="Normal 2 9" xfId="7216"/>
    <cellStyle name="Normal 20" xfId="7217"/>
    <cellStyle name="Normal 21" xfId="7218"/>
    <cellStyle name="Normal 22" xfId="7219"/>
    <cellStyle name="Normal 23" xfId="7220"/>
    <cellStyle name="Normal 24" xfId="7221"/>
    <cellStyle name="Normal 25" xfId="7222"/>
    <cellStyle name="Normal 26" xfId="7223"/>
    <cellStyle name="Normal 27" xfId="7224"/>
    <cellStyle name="Normal 27 2" xfId="7225"/>
    <cellStyle name="Normal 28" xfId="7226"/>
    <cellStyle name="Normal 29" xfId="7227"/>
    <cellStyle name="Normal 3" xfId="4"/>
    <cellStyle name="Normal 3 10" xfId="12"/>
    <cellStyle name="Normal 3 11" xfId="7228"/>
    <cellStyle name="Normal 3 12" xfId="7229"/>
    <cellStyle name="Normal 3 13" xfId="7230"/>
    <cellStyle name="Normal 3 14" xfId="7231"/>
    <cellStyle name="Normal 3 2" xfId="5"/>
    <cellStyle name="Normal 3 2 2" xfId="7232"/>
    <cellStyle name="Normal 3 2 3" xfId="7233"/>
    <cellStyle name="Normal 3 3" xfId="7234"/>
    <cellStyle name="Normal 3 4" xfId="7235"/>
    <cellStyle name="Normal 3 5" xfId="7236"/>
    <cellStyle name="Normal 3 6" xfId="7237"/>
    <cellStyle name="Normal 3 7" xfId="7238"/>
    <cellStyle name="Normal 3 8" xfId="7239"/>
    <cellStyle name="Normal 3 9" xfId="7240"/>
    <cellStyle name="Normal 30" xfId="7241"/>
    <cellStyle name="Normal 31" xfId="7242"/>
    <cellStyle name="Normal 32" xfId="7243"/>
    <cellStyle name="Normal 33" xfId="7244"/>
    <cellStyle name="Normal 34" xfId="7245"/>
    <cellStyle name="Normal 35" xfId="7246"/>
    <cellStyle name="Normal 36" xfId="7247"/>
    <cellStyle name="Normal 37" xfId="7248"/>
    <cellStyle name="Normal 37 2" xfId="7249"/>
    <cellStyle name="Normal 37 3" xfId="7250"/>
    <cellStyle name="Normal 38" xfId="7251"/>
    <cellStyle name="Normal 38 2" xfId="7252"/>
    <cellStyle name="Normal 39" xfId="7253"/>
    <cellStyle name="Normal 39 2" xfId="7254"/>
    <cellStyle name="Normal 4" xfId="6"/>
    <cellStyle name="Normal 4 10" xfId="7255"/>
    <cellStyle name="Normal 4 11" xfId="7256"/>
    <cellStyle name="Normal 4 12" xfId="7257"/>
    <cellStyle name="Normal 4 13" xfId="7258"/>
    <cellStyle name="Normal 4 14" xfId="7259"/>
    <cellStyle name="Normal 4 15" xfId="7260"/>
    <cellStyle name="Normal 4 16" xfId="7261"/>
    <cellStyle name="Normal 4 17" xfId="7262"/>
    <cellStyle name="Normal 4 18" xfId="7263"/>
    <cellStyle name="Normal 4 19" xfId="7264"/>
    <cellStyle name="Normal 4 2" xfId="7"/>
    <cellStyle name="Normal 4 2 2" xfId="7265"/>
    <cellStyle name="Normal 4 20" xfId="7266"/>
    <cellStyle name="Normal 4 21" xfId="7267"/>
    <cellStyle name="Normal 4 22" xfId="7268"/>
    <cellStyle name="Normal 4 23" xfId="7269"/>
    <cellStyle name="Normal 4 24" xfId="7270"/>
    <cellStyle name="Normal 4 25" xfId="7271"/>
    <cellStyle name="Normal 4 26" xfId="7272"/>
    <cellStyle name="Normal 4 27" xfId="7273"/>
    <cellStyle name="Normal 4 28" xfId="7274"/>
    <cellStyle name="Normal 4 29" xfId="7275"/>
    <cellStyle name="Normal 4 3" xfId="7276"/>
    <cellStyle name="Normal 4 30" xfId="7277"/>
    <cellStyle name="Normal 4 31" xfId="7278"/>
    <cellStyle name="Normal 4 32" xfId="7279"/>
    <cellStyle name="Normal 4 4" xfId="7280"/>
    <cellStyle name="Normal 4 5" xfId="7281"/>
    <cellStyle name="Normal 4 6" xfId="7282"/>
    <cellStyle name="Normal 4 7" xfId="7283"/>
    <cellStyle name="Normal 4 8" xfId="7284"/>
    <cellStyle name="Normal 4 9" xfId="7285"/>
    <cellStyle name="Normal 40" xfId="7286"/>
    <cellStyle name="Normal 40 2" xfId="7287"/>
    <cellStyle name="Normal 40 3" xfId="7288"/>
    <cellStyle name="Normal 41" xfId="7289"/>
    <cellStyle name="Normal 42" xfId="7290"/>
    <cellStyle name="Normal 43" xfId="7291"/>
    <cellStyle name="Normal 43 2" xfId="7292"/>
    <cellStyle name="Normal 44" xfId="7293"/>
    <cellStyle name="Normal 45" xfId="7294"/>
    <cellStyle name="Normal 46" xfId="7295"/>
    <cellStyle name="Normal 47" xfId="7296"/>
    <cellStyle name="Normal 48" xfId="7297"/>
    <cellStyle name="Normal 49" xfId="7298"/>
    <cellStyle name="Normal 5" xfId="8"/>
    <cellStyle name="Normal 5 2" xfId="9"/>
    <cellStyle name="Normal 5 3" xfId="7299"/>
    <cellStyle name="Normal 5 3 10" xfId="7300"/>
    <cellStyle name="Normal 5 3 11" xfId="7301"/>
    <cellStyle name="Normal 5 3 12" xfId="7302"/>
    <cellStyle name="Normal 5 3 2" xfId="7303"/>
    <cellStyle name="Normal 5 3 3" xfId="7304"/>
    <cellStyle name="Normal 5 3 4" xfId="7305"/>
    <cellStyle name="Normal 5 3 5" xfId="7306"/>
    <cellStyle name="Normal 5 3 6" xfId="7307"/>
    <cellStyle name="Normal 5 3 7" xfId="7308"/>
    <cellStyle name="Normal 5 3 8" xfId="7309"/>
    <cellStyle name="Normal 5 3 9" xfId="7310"/>
    <cellStyle name="Normal 50" xfId="7311"/>
    <cellStyle name="Normal 51" xfId="10"/>
    <cellStyle name="Normal 52" xfId="7312"/>
    <cellStyle name="Normal 53" xfId="7313"/>
    <cellStyle name="Normal 54" xfId="7314"/>
    <cellStyle name="Normal 55" xfId="7315"/>
    <cellStyle name="Normal 56" xfId="7316"/>
    <cellStyle name="Normal 57" xfId="7317"/>
    <cellStyle name="Normal 58" xfId="7318"/>
    <cellStyle name="Normal 59" xfId="7319"/>
    <cellStyle name="Normal 6" xfId="11"/>
    <cellStyle name="Normal 6 2" xfId="7320"/>
    <cellStyle name="Normal 6 3" xfId="7321"/>
    <cellStyle name="Normal 6 3 10" xfId="7322"/>
    <cellStyle name="Normal 6 3 11" xfId="7323"/>
    <cellStyle name="Normal 6 3 12" xfId="7324"/>
    <cellStyle name="Normal 6 3 2" xfId="7325"/>
    <cellStyle name="Normal 6 3 3" xfId="7326"/>
    <cellStyle name="Normal 6 3 4" xfId="7327"/>
    <cellStyle name="Normal 6 3 5" xfId="7328"/>
    <cellStyle name="Normal 6 3 6" xfId="7329"/>
    <cellStyle name="Normal 6 3 7" xfId="7330"/>
    <cellStyle name="Normal 6 3 8" xfId="7331"/>
    <cellStyle name="Normal 6 3 9" xfId="7332"/>
    <cellStyle name="Normal 60" xfId="7333"/>
    <cellStyle name="Normal 61" xfId="7334"/>
    <cellStyle name="Normal 62" xfId="7335"/>
    <cellStyle name="Normal 63" xfId="7336"/>
    <cellStyle name="Normal 64" xfId="7337"/>
    <cellStyle name="Normal 65" xfId="7338"/>
    <cellStyle name="Normal 66" xfId="7339"/>
    <cellStyle name="Normal 67" xfId="7340"/>
    <cellStyle name="Normal 68" xfId="7341"/>
    <cellStyle name="Normal 69" xfId="7342"/>
    <cellStyle name="Normal 7" xfId="7343"/>
    <cellStyle name="Normal 70" xfId="7344"/>
    <cellStyle name="Normal 71" xfId="7345"/>
    <cellStyle name="Normal 72" xfId="7346"/>
    <cellStyle name="Normal 73" xfId="7347"/>
    <cellStyle name="Normal 74" xfId="7348"/>
    <cellStyle name="Normal 75" xfId="7349"/>
    <cellStyle name="Normal 76" xfId="7350"/>
    <cellStyle name="Normal 77" xfId="7351"/>
    <cellStyle name="Normal 78" xfId="7352"/>
    <cellStyle name="Normal 79" xfId="7353"/>
    <cellStyle name="Normal 8" xfId="7354"/>
    <cellStyle name="Normal 8 2" xfId="7355"/>
    <cellStyle name="Normal 8 2 10" xfId="7356"/>
    <cellStyle name="Normal 8 2 11" xfId="7357"/>
    <cellStyle name="Normal 8 2 12" xfId="7358"/>
    <cellStyle name="Normal 8 2 2" xfId="7359"/>
    <cellStyle name="Normal 8 2 3" xfId="7360"/>
    <cellStyle name="Normal 8 2 4" xfId="7361"/>
    <cellStyle name="Normal 8 2 5" xfId="7362"/>
    <cellStyle name="Normal 8 2 6" xfId="7363"/>
    <cellStyle name="Normal 8 2 7" xfId="7364"/>
    <cellStyle name="Normal 8 2 8" xfId="7365"/>
    <cellStyle name="Normal 8 2 9" xfId="7366"/>
    <cellStyle name="Normal 80" xfId="7367"/>
    <cellStyle name="Normal 81" xfId="7368"/>
    <cellStyle name="Normal 82" xfId="7369"/>
    <cellStyle name="Normal 83" xfId="7370"/>
    <cellStyle name="Normal 84" xfId="7371"/>
    <cellStyle name="Normal 85" xfId="7372"/>
    <cellStyle name="Normal 86" xfId="7373"/>
    <cellStyle name="Normal 88" xfId="7374"/>
    <cellStyle name="Normal 9" xfId="7375"/>
    <cellStyle name="Percent" xfId="7380"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oneCellAnchor>
    <xdr:from>
      <xdr:col>0</xdr:col>
      <xdr:colOff>82550</xdr:colOff>
      <xdr:row>2</xdr:row>
      <xdr:rowOff>155071</xdr:rowOff>
    </xdr:from>
    <xdr:ext cx="9493250" cy="4531229"/>
    <xdr:sp macro="" textlink="">
      <xdr:nvSpPr>
        <xdr:cNvPr id="2" name="Rectangle 1"/>
        <xdr:cNvSpPr/>
      </xdr:nvSpPr>
      <xdr:spPr>
        <a:xfrm>
          <a:off x="82550" y="478921"/>
          <a:ext cx="9493250" cy="4531229"/>
        </a:xfrm>
        <a:prstGeom prst="rect">
          <a:avLst/>
        </a:prstGeom>
        <a:noFill/>
      </xdr:spPr>
      <xdr:txBody>
        <a:bodyPr wrap="square" lIns="91440" tIns="45720" rIns="91440" bIns="45720">
          <a:noAutofit/>
        </a:bodyPr>
        <a:lstStyle/>
        <a:p>
          <a:pPr algn="ctr"/>
          <a:r>
            <a:rPr lang="en-US" sz="5400" b="1" cap="none" spc="30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rPr>
            <a:t>Annual Work Plan &amp; Budget</a:t>
          </a:r>
        </a:p>
        <a:p>
          <a:pPr algn="ctr"/>
          <a:r>
            <a:rPr lang="en-US" sz="5400" b="1" cap="none" spc="30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rPr>
            <a:t>2019-20</a:t>
          </a:r>
        </a:p>
        <a:p>
          <a:pPr algn="ctr"/>
          <a:endParaRPr lang="en-US" sz="5400" b="1" cap="none" spc="30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endParaRPr>
        </a:p>
        <a:p>
          <a:pPr algn="ctr"/>
          <a:r>
            <a:rPr lang="en-US" sz="4400" b="1" cap="none" spc="30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rPr>
            <a:t>State/UTs</a:t>
          </a:r>
          <a:r>
            <a:rPr lang="en-US" sz="4400" b="1" cap="none" spc="300" baseline="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rPr>
            <a:t> - UTTARAKHAND</a:t>
          </a:r>
        </a:p>
        <a:p>
          <a:pPr algn="ctr"/>
          <a:r>
            <a:rPr lang="en-US" sz="4400" b="1" cap="none" spc="300" baseline="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rPr>
            <a:t>Date of Submission XX-XX-2019</a:t>
          </a:r>
          <a:endParaRPr lang="en-US" sz="4400" b="1" cap="none" spc="30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endParaRPr>
        </a:p>
        <a:p>
          <a:pPr algn="ct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mailto:mdmcell.uttarakhand@gmail.com" TargetMode="External"/></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249977111117893"/>
    <pageSetUpPr fitToPage="1"/>
  </sheetPr>
  <dimension ref="A1"/>
  <sheetViews>
    <sheetView workbookViewId="0">
      <selection activeCell="R20" sqref="R20"/>
    </sheetView>
  </sheetViews>
  <sheetFormatPr defaultRowHeight="12.75" x14ac:dyDescent="0.2"/>
  <sheetData/>
  <pageMargins left="0.70866141732283472" right="0.70866141732283472" top="0.74803149606299213" bottom="0.74803149606299213" header="0.31496062992125984" footer="0.31496062992125984"/>
  <pageSetup paperSize="9" scale="9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249977111117893"/>
    <pageSetUpPr fitToPage="1"/>
  </sheetPr>
  <dimension ref="A2:S37"/>
  <sheetViews>
    <sheetView showWhiteSpace="0" view="pageBreakPreview" topLeftCell="B11" zoomScaleNormal="100" zoomScaleSheetLayoutView="100" workbookViewId="0">
      <selection activeCell="G12" sqref="G12:G24"/>
    </sheetView>
  </sheetViews>
  <sheetFormatPr defaultRowHeight="12.75" x14ac:dyDescent="0.2"/>
  <cols>
    <col min="1" max="1" width="6.28515625" customWidth="1"/>
    <col min="2" max="2" width="19.5703125" customWidth="1"/>
    <col min="3" max="3" width="11.85546875" customWidth="1"/>
    <col min="5" max="5" width="9.5703125" customWidth="1"/>
    <col min="6" max="6" width="9.7109375" customWidth="1"/>
    <col min="7" max="7" width="9.28515625" customWidth="1"/>
    <col min="8" max="8" width="10.5703125" customWidth="1"/>
    <col min="9" max="9" width="9.85546875" customWidth="1"/>
    <col min="11" max="11" width="11.85546875" customWidth="1"/>
    <col min="12" max="12" width="11.140625" customWidth="1"/>
    <col min="13" max="13" width="10.7109375" customWidth="1"/>
    <col min="14" max="14" width="17.7109375" customWidth="1"/>
  </cols>
  <sheetData>
    <row r="2" spans="1:19" ht="12.75" customHeight="1" x14ac:dyDescent="0.2">
      <c r="D2" s="1037"/>
      <c r="E2" s="1037"/>
      <c r="F2" s="1037"/>
      <c r="G2" s="1037"/>
      <c r="H2" s="1037"/>
      <c r="I2" s="1037"/>
      <c r="J2" s="1037"/>
      <c r="M2" s="1141" t="s">
        <v>279</v>
      </c>
      <c r="N2" s="1141"/>
    </row>
    <row r="3" spans="1:19" ht="15" x14ac:dyDescent="0.2">
      <c r="A3" s="1152" t="s">
        <v>0</v>
      </c>
      <c r="B3" s="1152"/>
      <c r="C3" s="1152"/>
      <c r="D3" s="1152"/>
      <c r="E3" s="1152"/>
      <c r="F3" s="1152"/>
      <c r="G3" s="1152"/>
      <c r="H3" s="1152"/>
      <c r="I3" s="1152"/>
      <c r="J3" s="1152"/>
      <c r="K3" s="1152"/>
      <c r="L3" s="1152"/>
      <c r="M3" s="1152"/>
      <c r="N3" s="1152"/>
    </row>
    <row r="4" spans="1:19" ht="15.75" x14ac:dyDescent="0.25">
      <c r="A4" s="1131" t="s">
        <v>788</v>
      </c>
      <c r="B4" s="1131"/>
      <c r="C4" s="1131"/>
      <c r="D4" s="1131"/>
      <c r="E4" s="1131"/>
      <c r="F4" s="1131"/>
      <c r="G4" s="1131"/>
      <c r="H4" s="1131"/>
      <c r="I4" s="1131"/>
      <c r="J4" s="1131"/>
      <c r="K4" s="1131"/>
      <c r="L4" s="1131"/>
      <c r="M4" s="1131"/>
      <c r="N4" s="1131"/>
      <c r="O4" s="69"/>
      <c r="P4" s="69"/>
      <c r="Q4" s="69"/>
    </row>
    <row r="5" spans="1:19" ht="11.25" customHeight="1" x14ac:dyDescent="0.2"/>
    <row r="6" spans="1:19" ht="18" x14ac:dyDescent="0.25">
      <c r="A6" s="1039" t="s">
        <v>794</v>
      </c>
      <c r="B6" s="1039"/>
      <c r="C6" s="1039"/>
      <c r="D6" s="1039"/>
      <c r="E6" s="1039"/>
      <c r="F6" s="1039"/>
      <c r="G6" s="1039"/>
      <c r="H6" s="1039"/>
      <c r="I6" s="1039"/>
      <c r="J6" s="1039"/>
      <c r="K6" s="1039"/>
      <c r="L6" s="1039"/>
      <c r="M6" s="1039"/>
      <c r="N6" s="1039"/>
    </row>
    <row r="8" spans="1:19" x14ac:dyDescent="0.2">
      <c r="A8" s="1037" t="s">
        <v>456</v>
      </c>
      <c r="B8" s="1037"/>
      <c r="C8" s="1037"/>
      <c r="L8" s="1153" t="s">
        <v>795</v>
      </c>
      <c r="M8" s="1153"/>
      <c r="N8" s="1153"/>
      <c r="O8" s="72"/>
    </row>
    <row r="9" spans="1:19" ht="18" customHeight="1" x14ac:dyDescent="0.2">
      <c r="A9" s="1145" t="s">
        <v>2</v>
      </c>
      <c r="B9" s="1145" t="s">
        <v>3</v>
      </c>
      <c r="C9" s="1135" t="s">
        <v>4</v>
      </c>
      <c r="D9" s="1135"/>
      <c r="E9" s="1135"/>
      <c r="F9" s="1135"/>
      <c r="G9" s="1135"/>
      <c r="H9" s="1135" t="s">
        <v>107</v>
      </c>
      <c r="I9" s="1135"/>
      <c r="J9" s="1135"/>
      <c r="K9" s="1135"/>
      <c r="L9" s="1135"/>
      <c r="M9" s="1145" t="s">
        <v>143</v>
      </c>
      <c r="N9" s="1145" t="s">
        <v>144</v>
      </c>
    </row>
    <row r="10" spans="1:19" ht="38.25" x14ac:dyDescent="0.2">
      <c r="A10" s="1145"/>
      <c r="B10" s="1145"/>
      <c r="C10" s="189" t="s">
        <v>609</v>
      </c>
      <c r="D10" s="189" t="s">
        <v>6</v>
      </c>
      <c r="E10" s="189" t="s">
        <v>487</v>
      </c>
      <c r="F10" s="189" t="s">
        <v>105</v>
      </c>
      <c r="G10" s="189" t="s">
        <v>224</v>
      </c>
      <c r="H10" s="189" t="s">
        <v>5</v>
      </c>
      <c r="I10" s="189" t="s">
        <v>6</v>
      </c>
      <c r="J10" s="189" t="s">
        <v>487</v>
      </c>
      <c r="K10" s="189" t="s">
        <v>105</v>
      </c>
      <c r="L10" s="189" t="s">
        <v>123</v>
      </c>
      <c r="M10" s="1145"/>
      <c r="N10" s="1145"/>
      <c r="R10" s="9"/>
      <c r="S10" s="9"/>
    </row>
    <row r="11" spans="1:19" s="11" customFormat="1" x14ac:dyDescent="0.2">
      <c r="A11" s="189">
        <v>1</v>
      </c>
      <c r="B11" s="189">
        <v>2</v>
      </c>
      <c r="C11" s="189">
        <v>3</v>
      </c>
      <c r="D11" s="189">
        <v>4</v>
      </c>
      <c r="E11" s="189">
        <v>5</v>
      </c>
      <c r="F11" s="189">
        <v>6</v>
      </c>
      <c r="G11" s="189">
        <v>7</v>
      </c>
      <c r="H11" s="189">
        <v>8</v>
      </c>
      <c r="I11" s="189">
        <v>9</v>
      </c>
      <c r="J11" s="189">
        <v>10</v>
      </c>
      <c r="K11" s="188">
        <v>11</v>
      </c>
      <c r="L11" s="190">
        <v>12</v>
      </c>
      <c r="M11" s="190">
        <v>13</v>
      </c>
      <c r="N11" s="188">
        <v>14</v>
      </c>
    </row>
    <row r="12" spans="1:19" ht="24.95" customHeight="1" x14ac:dyDescent="0.2">
      <c r="A12" s="204">
        <v>1</v>
      </c>
      <c r="B12" s="456" t="s">
        <v>386</v>
      </c>
      <c r="C12" s="421">
        <v>443</v>
      </c>
      <c r="D12" s="421">
        <v>57</v>
      </c>
      <c r="E12" s="421">
        <v>0</v>
      </c>
      <c r="F12" s="421">
        <v>0</v>
      </c>
      <c r="G12" s="68">
        <f>C12+D12+E12+F12</f>
        <v>500</v>
      </c>
      <c r="H12" s="559">
        <v>429</v>
      </c>
      <c r="I12" s="557">
        <v>54</v>
      </c>
      <c r="J12" s="460">
        <v>0</v>
      </c>
      <c r="K12" s="555">
        <v>0</v>
      </c>
      <c r="L12" s="68">
        <f>H12+I12+J12+K12</f>
        <v>483</v>
      </c>
      <c r="M12" s="552">
        <f>G12-L12</f>
        <v>17</v>
      </c>
      <c r="N12" s="422"/>
      <c r="R12" s="9"/>
    </row>
    <row r="13" spans="1:19" ht="24.95" customHeight="1" x14ac:dyDescent="0.2">
      <c r="A13" s="188">
        <v>2</v>
      </c>
      <c r="B13" s="219" t="s">
        <v>387</v>
      </c>
      <c r="C13" s="90">
        <v>202</v>
      </c>
      <c r="D13" s="90">
        <v>24</v>
      </c>
      <c r="E13" s="90">
        <v>0</v>
      </c>
      <c r="F13" s="90">
        <v>0</v>
      </c>
      <c r="G13" s="68">
        <f t="shared" ref="G13:G24" si="0">C13+D13+E13+F13</f>
        <v>226</v>
      </c>
      <c r="H13" s="559">
        <v>205</v>
      </c>
      <c r="I13" s="558">
        <v>18</v>
      </c>
      <c r="J13" s="333">
        <v>0</v>
      </c>
      <c r="K13" s="556">
        <v>0</v>
      </c>
      <c r="L13" s="772">
        <f t="shared" ref="L13:L24" si="1">H13+I13+J13+K13</f>
        <v>223</v>
      </c>
      <c r="M13" s="955">
        <f t="shared" ref="M13:M24" si="2">G13-L13</f>
        <v>3</v>
      </c>
      <c r="N13" s="212"/>
      <c r="P13" s="11"/>
      <c r="Q13" s="11"/>
      <c r="R13" s="11"/>
    </row>
    <row r="14" spans="1:19" ht="24.95" customHeight="1" x14ac:dyDescent="0.2">
      <c r="A14" s="188">
        <v>3</v>
      </c>
      <c r="B14" s="219" t="s">
        <v>388</v>
      </c>
      <c r="C14" s="90">
        <v>406</v>
      </c>
      <c r="D14" s="90">
        <v>23</v>
      </c>
      <c r="E14" s="90">
        <v>0</v>
      </c>
      <c r="F14" s="90">
        <v>0</v>
      </c>
      <c r="G14" s="68">
        <f t="shared" si="0"/>
        <v>429</v>
      </c>
      <c r="H14" s="559">
        <v>404</v>
      </c>
      <c r="I14" s="558">
        <v>23</v>
      </c>
      <c r="J14" s="333">
        <v>0</v>
      </c>
      <c r="K14" s="556">
        <v>0</v>
      </c>
      <c r="L14" s="772">
        <f t="shared" si="1"/>
        <v>427</v>
      </c>
      <c r="M14" s="955">
        <f t="shared" si="2"/>
        <v>2</v>
      </c>
      <c r="N14" s="212"/>
      <c r="R14" s="9"/>
    </row>
    <row r="15" spans="1:19" ht="24.95" customHeight="1" x14ac:dyDescent="0.2">
      <c r="A15" s="188">
        <v>4</v>
      </c>
      <c r="B15" s="219" t="s">
        <v>389</v>
      </c>
      <c r="C15" s="90">
        <v>193</v>
      </c>
      <c r="D15" s="90">
        <v>9</v>
      </c>
      <c r="E15" s="90">
        <v>0</v>
      </c>
      <c r="F15" s="90">
        <v>0</v>
      </c>
      <c r="G15" s="68">
        <f t="shared" si="0"/>
        <v>202</v>
      </c>
      <c r="H15" s="559">
        <v>190</v>
      </c>
      <c r="I15" s="558">
        <v>9</v>
      </c>
      <c r="J15" s="333">
        <v>0</v>
      </c>
      <c r="K15" s="556">
        <v>0</v>
      </c>
      <c r="L15" s="772">
        <f t="shared" si="1"/>
        <v>199</v>
      </c>
      <c r="M15" s="955">
        <f t="shared" si="2"/>
        <v>3</v>
      </c>
      <c r="N15" s="212"/>
      <c r="P15" s="11"/>
      <c r="Q15" s="11"/>
      <c r="R15" s="11"/>
    </row>
    <row r="16" spans="1:19" ht="24.95" customHeight="1" x14ac:dyDescent="0.2">
      <c r="A16" s="188">
        <v>5</v>
      </c>
      <c r="B16" s="221" t="s">
        <v>390</v>
      </c>
      <c r="C16" s="90">
        <v>390</v>
      </c>
      <c r="D16" s="90">
        <v>86</v>
      </c>
      <c r="E16" s="90">
        <v>0</v>
      </c>
      <c r="F16" s="90">
        <v>1</v>
      </c>
      <c r="G16" s="68">
        <f t="shared" si="0"/>
        <v>477</v>
      </c>
      <c r="H16" s="559">
        <v>377</v>
      </c>
      <c r="I16" s="558">
        <v>75</v>
      </c>
      <c r="J16" s="333">
        <v>0</v>
      </c>
      <c r="K16" s="556">
        <v>1</v>
      </c>
      <c r="L16" s="772">
        <f t="shared" si="1"/>
        <v>453</v>
      </c>
      <c r="M16" s="955">
        <f t="shared" si="2"/>
        <v>24</v>
      </c>
      <c r="N16" s="212"/>
      <c r="R16" s="9"/>
    </row>
    <row r="17" spans="1:18" ht="24.95" customHeight="1" x14ac:dyDescent="0.2">
      <c r="A17" s="188">
        <v>6</v>
      </c>
      <c r="B17" s="219" t="s">
        <v>391</v>
      </c>
      <c r="C17" s="90">
        <v>228</v>
      </c>
      <c r="D17" s="90">
        <v>74</v>
      </c>
      <c r="E17" s="90">
        <v>0</v>
      </c>
      <c r="F17" s="90">
        <v>4</v>
      </c>
      <c r="G17" s="68">
        <f t="shared" si="0"/>
        <v>306</v>
      </c>
      <c r="H17" s="559">
        <v>234</v>
      </c>
      <c r="I17" s="558">
        <v>61</v>
      </c>
      <c r="J17" s="333">
        <v>0</v>
      </c>
      <c r="K17" s="556">
        <v>5</v>
      </c>
      <c r="L17" s="772">
        <f t="shared" si="1"/>
        <v>300</v>
      </c>
      <c r="M17" s="955">
        <f t="shared" si="2"/>
        <v>6</v>
      </c>
      <c r="N17" s="212"/>
      <c r="P17" s="11"/>
      <c r="Q17" s="11"/>
      <c r="R17" s="11"/>
    </row>
    <row r="18" spans="1:18" ht="24.95" customHeight="1" x14ac:dyDescent="0.2">
      <c r="A18" s="188">
        <v>7</v>
      </c>
      <c r="B18" s="221" t="s">
        <v>392</v>
      </c>
      <c r="C18" s="90">
        <v>426</v>
      </c>
      <c r="D18" s="90">
        <v>33</v>
      </c>
      <c r="E18" s="90">
        <v>0</v>
      </c>
      <c r="F18" s="90">
        <v>0</v>
      </c>
      <c r="G18" s="68">
        <f t="shared" si="0"/>
        <v>459</v>
      </c>
      <c r="H18" s="559">
        <v>408</v>
      </c>
      <c r="I18" s="558">
        <v>35</v>
      </c>
      <c r="J18" s="333">
        <v>0</v>
      </c>
      <c r="K18" s="556">
        <v>0</v>
      </c>
      <c r="L18" s="772">
        <f t="shared" si="1"/>
        <v>443</v>
      </c>
      <c r="M18" s="955">
        <f t="shared" si="2"/>
        <v>16</v>
      </c>
      <c r="N18" s="212"/>
      <c r="R18" s="9"/>
    </row>
    <row r="19" spans="1:18" ht="24.95" customHeight="1" x14ac:dyDescent="0.2">
      <c r="A19" s="188">
        <v>8</v>
      </c>
      <c r="B19" s="219" t="s">
        <v>393</v>
      </c>
      <c r="C19" s="90">
        <v>581</v>
      </c>
      <c r="D19" s="90">
        <v>95</v>
      </c>
      <c r="E19" s="90">
        <v>0</v>
      </c>
      <c r="F19" s="90">
        <v>0</v>
      </c>
      <c r="G19" s="68">
        <f t="shared" si="0"/>
        <v>676</v>
      </c>
      <c r="H19" s="559">
        <v>565</v>
      </c>
      <c r="I19" s="558">
        <v>93</v>
      </c>
      <c r="J19" s="333">
        <v>0</v>
      </c>
      <c r="K19" s="556">
        <v>0</v>
      </c>
      <c r="L19" s="772">
        <f t="shared" si="1"/>
        <v>658</v>
      </c>
      <c r="M19" s="955">
        <f t="shared" si="2"/>
        <v>18</v>
      </c>
      <c r="N19" s="212"/>
      <c r="P19" s="11"/>
      <c r="Q19" s="11"/>
      <c r="R19" s="11"/>
    </row>
    <row r="20" spans="1:18" ht="24.95" customHeight="1" x14ac:dyDescent="0.2">
      <c r="A20" s="188">
        <v>9</v>
      </c>
      <c r="B20" s="219" t="s">
        <v>394</v>
      </c>
      <c r="C20" s="90">
        <v>438</v>
      </c>
      <c r="D20" s="90">
        <v>14</v>
      </c>
      <c r="E20" s="90">
        <v>0</v>
      </c>
      <c r="F20" s="90">
        <v>0</v>
      </c>
      <c r="G20" s="68">
        <f t="shared" si="0"/>
        <v>452</v>
      </c>
      <c r="H20" s="559">
        <v>424</v>
      </c>
      <c r="I20" s="558">
        <v>13</v>
      </c>
      <c r="J20" s="333">
        <v>0</v>
      </c>
      <c r="K20" s="556">
        <v>0</v>
      </c>
      <c r="L20" s="772">
        <f t="shared" si="1"/>
        <v>437</v>
      </c>
      <c r="M20" s="955">
        <f t="shared" si="2"/>
        <v>15</v>
      </c>
      <c r="N20" s="212"/>
      <c r="R20" s="9"/>
    </row>
    <row r="21" spans="1:18" ht="24.95" customHeight="1" x14ac:dyDescent="0.2">
      <c r="A21" s="188">
        <v>10</v>
      </c>
      <c r="B21" s="219" t="s">
        <v>395</v>
      </c>
      <c r="C21" s="90">
        <v>226</v>
      </c>
      <c r="D21" s="90">
        <v>43</v>
      </c>
      <c r="E21" s="90">
        <v>0</v>
      </c>
      <c r="F21" s="90">
        <v>0</v>
      </c>
      <c r="G21" s="68">
        <f t="shared" si="0"/>
        <v>269</v>
      </c>
      <c r="H21" s="559">
        <v>229</v>
      </c>
      <c r="I21" s="558">
        <v>35</v>
      </c>
      <c r="J21" s="333">
        <v>0</v>
      </c>
      <c r="K21" s="556">
        <v>0</v>
      </c>
      <c r="L21" s="772">
        <f t="shared" si="1"/>
        <v>264</v>
      </c>
      <c r="M21" s="955">
        <f t="shared" si="2"/>
        <v>5</v>
      </c>
      <c r="N21" s="212"/>
      <c r="P21" s="781"/>
      <c r="Q21" s="781"/>
      <c r="R21" s="11"/>
    </row>
    <row r="22" spans="1:18" ht="24.95" customHeight="1" x14ac:dyDescent="0.2">
      <c r="A22" s="188">
        <v>11</v>
      </c>
      <c r="B22" s="219" t="s">
        <v>396</v>
      </c>
      <c r="C22" s="90">
        <v>569</v>
      </c>
      <c r="D22" s="90">
        <v>40</v>
      </c>
      <c r="E22" s="90">
        <v>0</v>
      </c>
      <c r="F22" s="90">
        <v>0</v>
      </c>
      <c r="G22" s="68">
        <f t="shared" si="0"/>
        <v>609</v>
      </c>
      <c r="H22" s="559">
        <v>546</v>
      </c>
      <c r="I22" s="558">
        <v>44</v>
      </c>
      <c r="J22" s="333">
        <v>0</v>
      </c>
      <c r="K22" s="556">
        <v>0</v>
      </c>
      <c r="L22" s="772">
        <f t="shared" si="1"/>
        <v>590</v>
      </c>
      <c r="M22" s="955">
        <f t="shared" si="2"/>
        <v>19</v>
      </c>
      <c r="N22" s="212"/>
      <c r="P22" s="781"/>
      <c r="Q22" s="781"/>
      <c r="R22" s="9"/>
    </row>
    <row r="23" spans="1:18" ht="24.95" customHeight="1" x14ac:dyDescent="0.2">
      <c r="A23" s="188">
        <v>12</v>
      </c>
      <c r="B23" s="219" t="s">
        <v>397</v>
      </c>
      <c r="C23" s="90">
        <v>321</v>
      </c>
      <c r="D23" s="90">
        <v>60</v>
      </c>
      <c r="E23" s="90">
        <v>0</v>
      </c>
      <c r="F23" s="90">
        <v>34</v>
      </c>
      <c r="G23" s="68">
        <f t="shared" si="0"/>
        <v>415</v>
      </c>
      <c r="H23" s="559">
        <v>321</v>
      </c>
      <c r="I23" s="558">
        <v>60</v>
      </c>
      <c r="J23" s="333">
        <v>0</v>
      </c>
      <c r="K23" s="556">
        <v>34</v>
      </c>
      <c r="L23" s="772">
        <f t="shared" si="1"/>
        <v>415</v>
      </c>
      <c r="M23" s="955">
        <f t="shared" si="2"/>
        <v>0</v>
      </c>
      <c r="N23" s="212"/>
      <c r="P23" s="781"/>
      <c r="Q23" s="781"/>
      <c r="R23" s="11"/>
    </row>
    <row r="24" spans="1:18" ht="24.95" customHeight="1" x14ac:dyDescent="0.2">
      <c r="A24" s="188">
        <v>13</v>
      </c>
      <c r="B24" s="219" t="s">
        <v>398</v>
      </c>
      <c r="C24" s="90">
        <v>338</v>
      </c>
      <c r="D24" s="90">
        <v>4</v>
      </c>
      <c r="E24" s="90">
        <v>0</v>
      </c>
      <c r="F24" s="90">
        <v>0</v>
      </c>
      <c r="G24" s="68">
        <f t="shared" si="0"/>
        <v>342</v>
      </c>
      <c r="H24" s="559">
        <v>322</v>
      </c>
      <c r="I24" s="558">
        <v>4</v>
      </c>
      <c r="J24" s="333">
        <v>0</v>
      </c>
      <c r="K24" s="556">
        <v>0</v>
      </c>
      <c r="L24" s="772">
        <f t="shared" si="1"/>
        <v>326</v>
      </c>
      <c r="M24" s="955">
        <f t="shared" si="2"/>
        <v>16</v>
      </c>
      <c r="N24" s="212"/>
      <c r="P24" s="781"/>
      <c r="Q24" s="781"/>
      <c r="R24" s="9"/>
    </row>
    <row r="25" spans="1:18" s="11" customFormat="1" x14ac:dyDescent="0.2">
      <c r="A25" s="188" t="s">
        <v>18</v>
      </c>
      <c r="B25" s="188"/>
      <c r="C25" s="188">
        <f t="shared" ref="C25:M25" si="3">SUM(C12:C24)</f>
        <v>4761</v>
      </c>
      <c r="D25" s="188">
        <f t="shared" si="3"/>
        <v>562</v>
      </c>
      <c r="E25" s="188">
        <f t="shared" si="3"/>
        <v>0</v>
      </c>
      <c r="F25" s="188">
        <f t="shared" si="3"/>
        <v>39</v>
      </c>
      <c r="G25" s="188">
        <f t="shared" si="3"/>
        <v>5362</v>
      </c>
      <c r="H25" s="188">
        <f t="shared" si="3"/>
        <v>4654</v>
      </c>
      <c r="I25" s="188">
        <f t="shared" si="3"/>
        <v>524</v>
      </c>
      <c r="J25" s="188">
        <f t="shared" si="3"/>
        <v>0</v>
      </c>
      <c r="K25" s="188">
        <f t="shared" si="3"/>
        <v>40</v>
      </c>
      <c r="L25" s="188">
        <f>SUM(L12:L24)</f>
        <v>5218</v>
      </c>
      <c r="M25" s="188">
        <f t="shared" si="3"/>
        <v>144</v>
      </c>
      <c r="N25" s="188"/>
      <c r="P25" s="781"/>
      <c r="Q25" s="781"/>
    </row>
    <row r="26" spans="1:18" x14ac:dyDescent="0.2">
      <c r="A26" s="8"/>
      <c r="B26" s="16"/>
      <c r="C26" s="16"/>
      <c r="D26" s="16"/>
      <c r="E26" s="16"/>
      <c r="F26" s="16"/>
      <c r="G26" s="16"/>
      <c r="H26" s="16"/>
      <c r="I26" s="16"/>
      <c r="J26" s="16"/>
      <c r="K26" s="16"/>
      <c r="L26" s="16"/>
      <c r="M26" s="16"/>
      <c r="N26" s="9"/>
      <c r="P26" s="781"/>
      <c r="Q26" s="781"/>
      <c r="R26" s="9"/>
    </row>
    <row r="27" spans="1:18" x14ac:dyDescent="0.2">
      <c r="A27" s="458" t="s">
        <v>7</v>
      </c>
      <c r="B27" s="451"/>
      <c r="C27" s="451"/>
      <c r="D27" s="451"/>
      <c r="E27" s="12"/>
      <c r="I27" s="12"/>
      <c r="J27" s="12"/>
      <c r="K27" s="1135" t="s">
        <v>817</v>
      </c>
      <c r="L27" s="1135"/>
      <c r="M27" s="1135"/>
      <c r="P27" s="781"/>
      <c r="Q27" s="781"/>
      <c r="R27" s="11"/>
    </row>
    <row r="28" spans="1:18" x14ac:dyDescent="0.2">
      <c r="A28" s="451" t="s">
        <v>8</v>
      </c>
      <c r="B28" s="451"/>
      <c r="C28" s="451"/>
      <c r="D28" s="451"/>
      <c r="E28" s="12"/>
      <c r="I28" s="12"/>
      <c r="J28" s="12"/>
      <c r="K28" s="1151" t="s">
        <v>816</v>
      </c>
      <c r="L28" s="1151"/>
      <c r="M28" s="1151"/>
      <c r="N28" s="707"/>
      <c r="P28" s="781"/>
      <c r="Q28" s="781"/>
      <c r="R28" s="9"/>
    </row>
    <row r="29" spans="1:18" x14ac:dyDescent="0.2">
      <c r="A29" s="451" t="s">
        <v>9</v>
      </c>
      <c r="B29" s="451"/>
      <c r="C29" s="451"/>
      <c r="D29" s="451"/>
      <c r="E29" s="12"/>
      <c r="I29" s="12"/>
      <c r="J29" s="12"/>
      <c r="K29" s="1155" t="s">
        <v>815</v>
      </c>
      <c r="L29" s="1155"/>
      <c r="M29" s="1155"/>
      <c r="N29" s="707"/>
      <c r="P29" s="781"/>
      <c r="Q29" s="781"/>
    </row>
    <row r="30" spans="1:18" ht="12.75" customHeight="1" x14ac:dyDescent="0.2">
      <c r="A30" s="459" t="s">
        <v>581</v>
      </c>
      <c r="B30" s="459"/>
      <c r="C30" s="451"/>
      <c r="D30" s="451"/>
      <c r="E30" s="12"/>
      <c r="I30" s="12"/>
      <c r="J30" s="12"/>
      <c r="K30" s="1140" t="s">
        <v>740</v>
      </c>
      <c r="L30" s="1140"/>
      <c r="M30" s="1140"/>
      <c r="N30" s="707"/>
      <c r="P30" s="781"/>
      <c r="Q30" s="781"/>
    </row>
    <row r="31" spans="1:18" ht="15.75" customHeight="1" x14ac:dyDescent="0.2">
      <c r="A31" s="1156"/>
      <c r="B31" s="1156"/>
      <c r="C31" s="1156"/>
      <c r="D31" s="1156"/>
      <c r="E31" s="1156"/>
      <c r="F31" s="1156"/>
      <c r="G31" s="1156"/>
      <c r="H31" s="1156"/>
      <c r="I31" s="1156"/>
      <c r="J31" s="1156"/>
      <c r="K31" s="1156"/>
      <c r="L31" s="1156"/>
      <c r="M31" s="1156"/>
      <c r="N31" s="1156"/>
      <c r="P31" s="781"/>
      <c r="Q31" s="781"/>
    </row>
    <row r="32" spans="1:18" x14ac:dyDescent="0.2">
      <c r="A32" s="1037"/>
      <c r="B32" s="1037"/>
      <c r="C32" s="1037"/>
      <c r="D32" s="1037"/>
      <c r="E32" s="16"/>
      <c r="I32" s="16"/>
      <c r="J32" s="16"/>
      <c r="K32" s="1154"/>
      <c r="L32" s="1154"/>
      <c r="M32" s="1154"/>
      <c r="N32" s="9"/>
      <c r="P32" s="781"/>
      <c r="Q32" s="781"/>
    </row>
    <row r="33" spans="1:14" x14ac:dyDescent="0.2">
      <c r="E33" s="9"/>
      <c r="F33" s="9"/>
      <c r="G33" s="9"/>
      <c r="H33" s="9"/>
      <c r="I33" s="9"/>
      <c r="J33" s="9"/>
      <c r="K33" s="9"/>
      <c r="L33" s="9"/>
      <c r="M33" s="9"/>
      <c r="N33" s="9"/>
    </row>
    <row r="34" spans="1:14" x14ac:dyDescent="0.2">
      <c r="A34" s="455" t="s">
        <v>608</v>
      </c>
      <c r="B34" s="238"/>
      <c r="C34" s="238"/>
      <c r="D34" s="238"/>
      <c r="E34" s="238"/>
      <c r="F34" s="238"/>
      <c r="G34" s="238"/>
      <c r="H34" s="238"/>
      <c r="I34" s="454"/>
      <c r="J34" s="454"/>
      <c r="K34" s="454"/>
      <c r="L34" s="1074" t="s">
        <v>12</v>
      </c>
      <c r="M34" s="1074"/>
      <c r="N34" s="1074"/>
    </row>
    <row r="35" spans="1:14" ht="15.75" customHeight="1" x14ac:dyDescent="0.2">
      <c r="A35" s="1150" t="s">
        <v>13</v>
      </c>
      <c r="B35" s="1150"/>
      <c r="C35" s="1150"/>
      <c r="D35" s="1150"/>
      <c r="E35" s="1150"/>
      <c r="F35" s="1150"/>
      <c r="G35" s="1150"/>
      <c r="H35" s="1150"/>
      <c r="I35" s="1150"/>
      <c r="J35" s="1150"/>
      <c r="K35" s="1150"/>
      <c r="L35" s="1150"/>
      <c r="M35" s="1150"/>
      <c r="N35" s="1150"/>
    </row>
    <row r="36" spans="1:14" ht="15.75" customHeight="1" x14ac:dyDescent="0.2">
      <c r="A36" s="1150" t="s">
        <v>14</v>
      </c>
      <c r="B36" s="1150"/>
      <c r="C36" s="1150"/>
      <c r="D36" s="1150"/>
      <c r="E36" s="1150"/>
      <c r="F36" s="1150"/>
      <c r="G36" s="1150"/>
      <c r="H36" s="1150"/>
      <c r="I36" s="1150"/>
      <c r="J36" s="1150"/>
      <c r="K36" s="1150"/>
      <c r="L36" s="1150"/>
      <c r="M36" s="1150"/>
      <c r="N36" s="1150"/>
    </row>
    <row r="37" spans="1:14" x14ac:dyDescent="0.2">
      <c r="L37" s="1" t="s">
        <v>84</v>
      </c>
    </row>
  </sheetData>
  <mergeCells count="23">
    <mergeCell ref="A36:N36"/>
    <mergeCell ref="A9:A10"/>
    <mergeCell ref="B9:B10"/>
    <mergeCell ref="H9:L9"/>
    <mergeCell ref="M9:M10"/>
    <mergeCell ref="N9:N10"/>
    <mergeCell ref="L34:N34"/>
    <mergeCell ref="A35:N35"/>
    <mergeCell ref="C9:G9"/>
    <mergeCell ref="K32:M32"/>
    <mergeCell ref="A32:D32"/>
    <mergeCell ref="K27:M27"/>
    <mergeCell ref="K28:M28"/>
    <mergeCell ref="K29:M29"/>
    <mergeCell ref="A31:N31"/>
    <mergeCell ref="K30:M30"/>
    <mergeCell ref="D2:J2"/>
    <mergeCell ref="A3:N3"/>
    <mergeCell ref="A4:N4"/>
    <mergeCell ref="A6:N6"/>
    <mergeCell ref="L8:N8"/>
    <mergeCell ref="A8:C8"/>
    <mergeCell ref="M2:N2"/>
  </mergeCells>
  <phoneticPr fontId="0" type="noConversion"/>
  <printOptions horizontalCentered="1"/>
  <pageMargins left="0.47" right="0.53" top="0.23622047244094491" bottom="0" header="0.31496062992125984" footer="0.31496062992125984"/>
  <pageSetup paperSize="9"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A1:T34"/>
  <sheetViews>
    <sheetView view="pageBreakPreview" topLeftCell="A9" zoomScale="89" zoomScaleSheetLayoutView="89" workbookViewId="0">
      <selection activeCell="G25" sqref="G25"/>
    </sheetView>
  </sheetViews>
  <sheetFormatPr defaultRowHeight="12.75" x14ac:dyDescent="0.2"/>
  <cols>
    <col min="1" max="1" width="7.140625" style="12" customWidth="1"/>
    <col min="2" max="2" width="11.7109375" style="12" customWidth="1"/>
    <col min="3" max="3" width="10" style="12" customWidth="1"/>
    <col min="4" max="4" width="9.28515625" style="12" customWidth="1"/>
    <col min="5" max="5" width="10.5703125" style="12" customWidth="1"/>
    <col min="6" max="6" width="9.140625" style="12"/>
    <col min="7" max="7" width="11.7109375" style="12" customWidth="1"/>
    <col min="8" max="8" width="11" style="12" customWidth="1"/>
    <col min="9" max="9" width="9.7109375" style="12" customWidth="1"/>
    <col min="10" max="10" width="10.42578125" style="12" customWidth="1"/>
    <col min="11" max="11" width="9.28515625" style="12" customWidth="1"/>
    <col min="12" max="12" width="12" style="12" customWidth="1"/>
    <col min="13" max="13" width="10.5703125" style="12" customWidth="1"/>
    <col min="14" max="14" width="8.7109375" style="12" customWidth="1"/>
    <col min="15" max="15" width="10.28515625" style="12" customWidth="1"/>
    <col min="16" max="16" width="12" style="12" bestFit="1" customWidth="1"/>
    <col min="17" max="17" width="11" style="12" customWidth="1"/>
    <col min="18" max="16384" width="9.140625" style="12"/>
  </cols>
  <sheetData>
    <row r="1" spans="1:20" customFormat="1" ht="12.75" customHeight="1" x14ac:dyDescent="0.2">
      <c r="D1" s="12"/>
      <c r="E1" s="12"/>
      <c r="F1" s="12"/>
      <c r="G1" s="12"/>
      <c r="H1" s="12"/>
      <c r="I1" s="12"/>
      <c r="J1" s="12"/>
      <c r="K1" s="12"/>
      <c r="L1" s="12"/>
      <c r="M1" s="12"/>
      <c r="N1" s="12"/>
      <c r="O1" s="1158" t="s">
        <v>61</v>
      </c>
      <c r="P1" s="1158"/>
      <c r="Q1" s="1158"/>
    </row>
    <row r="2" spans="1:20" customFormat="1" ht="15" x14ac:dyDescent="0.2">
      <c r="A2" s="1152" t="s">
        <v>0</v>
      </c>
      <c r="B2" s="1152"/>
      <c r="C2" s="1152"/>
      <c r="D2" s="1152"/>
      <c r="E2" s="1152"/>
      <c r="F2" s="1152"/>
      <c r="G2" s="1152"/>
      <c r="H2" s="1152"/>
      <c r="I2" s="1152"/>
      <c r="J2" s="1152"/>
      <c r="K2" s="1152"/>
      <c r="L2" s="1152"/>
      <c r="M2" s="1152"/>
      <c r="N2" s="1152"/>
      <c r="O2" s="1152"/>
      <c r="P2" s="1152"/>
      <c r="Q2" s="1152"/>
    </row>
    <row r="3" spans="1:20" customFormat="1" ht="20.25" customHeight="1" x14ac:dyDescent="0.25">
      <c r="A3" s="1131" t="s">
        <v>788</v>
      </c>
      <c r="B3" s="1131"/>
      <c r="C3" s="1131"/>
      <c r="D3" s="1131"/>
      <c r="E3" s="1131"/>
      <c r="F3" s="1131"/>
      <c r="G3" s="1131"/>
      <c r="H3" s="1131"/>
      <c r="I3" s="1131"/>
      <c r="J3" s="1131"/>
      <c r="K3" s="1131"/>
      <c r="L3" s="1131"/>
      <c r="M3" s="1131"/>
      <c r="N3" s="1131"/>
      <c r="O3" s="1131"/>
      <c r="P3" s="1131"/>
      <c r="Q3" s="1131"/>
    </row>
    <row r="4" spans="1:20" customFormat="1" ht="11.25" customHeight="1" x14ac:dyDescent="0.2"/>
    <row r="5" spans="1:20" customFormat="1" ht="15.75" customHeight="1" x14ac:dyDescent="0.25">
      <c r="A5" s="1160" t="s">
        <v>796</v>
      </c>
      <c r="B5" s="1160"/>
      <c r="C5" s="1160"/>
      <c r="D5" s="1160"/>
      <c r="E5" s="1160"/>
      <c r="F5" s="1160"/>
      <c r="G5" s="1160"/>
      <c r="H5" s="1160"/>
      <c r="I5" s="1160"/>
      <c r="J5" s="1160"/>
      <c r="K5" s="1160"/>
      <c r="L5" s="1160"/>
      <c r="M5" s="1160"/>
      <c r="N5" s="1160"/>
      <c r="O5" s="1160"/>
      <c r="P5" s="1160"/>
      <c r="Q5" s="1160"/>
    </row>
    <row r="6" spans="1:20" ht="17.45" customHeight="1" x14ac:dyDescent="0.2">
      <c r="A6" s="1037" t="s">
        <v>456</v>
      </c>
      <c r="B6" s="1037"/>
      <c r="C6" s="1037"/>
      <c r="N6" s="1163" t="s">
        <v>795</v>
      </c>
      <c r="O6" s="1163"/>
      <c r="P6" s="1163"/>
      <c r="Q6" s="1163"/>
    </row>
    <row r="7" spans="1:20" ht="24" customHeight="1" x14ac:dyDescent="0.2">
      <c r="A7" s="1145" t="s">
        <v>2</v>
      </c>
      <c r="B7" s="1145" t="s">
        <v>3</v>
      </c>
      <c r="C7" s="1135" t="s">
        <v>797</v>
      </c>
      <c r="D7" s="1135"/>
      <c r="E7" s="1135"/>
      <c r="F7" s="1135"/>
      <c r="G7" s="1135"/>
      <c r="H7" s="1159" t="s">
        <v>738</v>
      </c>
      <c r="I7" s="1135"/>
      <c r="J7" s="1135"/>
      <c r="K7" s="1135"/>
      <c r="L7" s="1135"/>
      <c r="M7" s="1145" t="s">
        <v>115</v>
      </c>
      <c r="N7" s="1145"/>
      <c r="O7" s="1145"/>
      <c r="P7" s="1145"/>
      <c r="Q7" s="1145"/>
    </row>
    <row r="8" spans="1:20" s="11" customFormat="1" ht="50.25" customHeight="1" x14ac:dyDescent="0.2">
      <c r="A8" s="1145"/>
      <c r="B8" s="1145"/>
      <c r="C8" s="189" t="s">
        <v>234</v>
      </c>
      <c r="D8" s="189" t="s">
        <v>235</v>
      </c>
      <c r="E8" s="189" t="s">
        <v>487</v>
      </c>
      <c r="F8" s="189" t="s">
        <v>241</v>
      </c>
      <c r="G8" s="189" t="s">
        <v>122</v>
      </c>
      <c r="H8" s="195" t="s">
        <v>234</v>
      </c>
      <c r="I8" s="189" t="s">
        <v>235</v>
      </c>
      <c r="J8" s="189" t="s">
        <v>487</v>
      </c>
      <c r="K8" s="194" t="s">
        <v>241</v>
      </c>
      <c r="L8" s="189" t="s">
        <v>490</v>
      </c>
      <c r="M8" s="189" t="s">
        <v>234</v>
      </c>
      <c r="N8" s="189" t="s">
        <v>235</v>
      </c>
      <c r="O8" s="189" t="s">
        <v>487</v>
      </c>
      <c r="P8" s="194" t="s">
        <v>241</v>
      </c>
      <c r="Q8" s="194" t="s">
        <v>491</v>
      </c>
      <c r="R8" s="20"/>
    </row>
    <row r="9" spans="1:20" s="49" customFormat="1" x14ac:dyDescent="0.2">
      <c r="A9" s="237">
        <v>1</v>
      </c>
      <c r="B9" s="237">
        <v>2</v>
      </c>
      <c r="C9" s="237">
        <v>3</v>
      </c>
      <c r="D9" s="237">
        <v>4</v>
      </c>
      <c r="E9" s="237">
        <v>5</v>
      </c>
      <c r="F9" s="237">
        <v>6</v>
      </c>
      <c r="G9" s="237">
        <v>7</v>
      </c>
      <c r="H9" s="237">
        <v>8</v>
      </c>
      <c r="I9" s="237">
        <v>9</v>
      </c>
      <c r="J9" s="237">
        <v>10</v>
      </c>
      <c r="K9" s="237">
        <v>11</v>
      </c>
      <c r="L9" s="237">
        <v>12</v>
      </c>
      <c r="M9" s="237">
        <v>13</v>
      </c>
      <c r="N9" s="237">
        <v>14</v>
      </c>
      <c r="O9" s="237">
        <v>15</v>
      </c>
      <c r="P9" s="237">
        <v>16</v>
      </c>
      <c r="Q9" s="237">
        <v>17</v>
      </c>
    </row>
    <row r="10" spans="1:20" ht="24.95" customHeight="1" x14ac:dyDescent="0.2">
      <c r="A10" s="188">
        <v>1</v>
      </c>
      <c r="B10" s="219" t="s">
        <v>386</v>
      </c>
      <c r="C10" s="90">
        <v>23545</v>
      </c>
      <c r="D10" s="90">
        <v>151</v>
      </c>
      <c r="E10" s="90">
        <v>0</v>
      </c>
      <c r="F10" s="90">
        <v>0</v>
      </c>
      <c r="G10" s="68">
        <f>C10+D10+E10+F10</f>
        <v>23696</v>
      </c>
      <c r="H10" s="90">
        <v>21624</v>
      </c>
      <c r="I10" s="90">
        <v>136</v>
      </c>
      <c r="J10" s="90">
        <v>0</v>
      </c>
      <c r="K10" s="90">
        <v>0</v>
      </c>
      <c r="L10" s="68">
        <f>H10+I10+J10+K10</f>
        <v>21760</v>
      </c>
      <c r="M10" s="251">
        <v>4957861</v>
      </c>
      <c r="N10" s="251">
        <v>25219</v>
      </c>
      <c r="O10" s="251">
        <v>0</v>
      </c>
      <c r="P10" s="251">
        <v>0</v>
      </c>
      <c r="Q10" s="779">
        <f>M10+N10+O10+P10</f>
        <v>4983080</v>
      </c>
      <c r="S10" s="49"/>
      <c r="T10" s="49"/>
    </row>
    <row r="11" spans="1:20" ht="24.95" customHeight="1" x14ac:dyDescent="0.2">
      <c r="A11" s="188">
        <v>2</v>
      </c>
      <c r="B11" s="219" t="s">
        <v>387</v>
      </c>
      <c r="C11" s="90">
        <v>12005</v>
      </c>
      <c r="D11" s="90">
        <v>35</v>
      </c>
      <c r="E11" s="90">
        <v>0</v>
      </c>
      <c r="F11" s="90">
        <v>0</v>
      </c>
      <c r="G11" s="68">
        <f t="shared" ref="G11:G22" si="0">C11+D11+E11+F11</f>
        <v>12040</v>
      </c>
      <c r="H11" s="90">
        <v>10741</v>
      </c>
      <c r="I11" s="90">
        <v>27</v>
      </c>
      <c r="J11" s="90">
        <v>0</v>
      </c>
      <c r="K11" s="90">
        <v>0</v>
      </c>
      <c r="L11" s="720">
        <f t="shared" ref="L11:L22" si="1">H11+I11+J11+K11</f>
        <v>10768</v>
      </c>
      <c r="M11" s="251">
        <v>2481202</v>
      </c>
      <c r="N11" s="251">
        <v>6102</v>
      </c>
      <c r="O11" s="251">
        <v>0</v>
      </c>
      <c r="P11" s="251">
        <v>0</v>
      </c>
      <c r="Q11" s="711">
        <f t="shared" ref="Q11:Q22" si="2">M11+N11+O11+P11</f>
        <v>2487304</v>
      </c>
      <c r="S11" s="49"/>
      <c r="T11" s="49"/>
    </row>
    <row r="12" spans="1:20" ht="24.95" customHeight="1" x14ac:dyDescent="0.2">
      <c r="A12" s="188">
        <v>3</v>
      </c>
      <c r="B12" s="219" t="s">
        <v>388</v>
      </c>
      <c r="C12" s="90">
        <v>20222</v>
      </c>
      <c r="D12" s="90">
        <v>0</v>
      </c>
      <c r="E12" s="90">
        <v>0</v>
      </c>
      <c r="F12" s="90">
        <v>0</v>
      </c>
      <c r="G12" s="68">
        <f t="shared" si="0"/>
        <v>20222</v>
      </c>
      <c r="H12" s="90">
        <v>19017</v>
      </c>
      <c r="I12" s="90">
        <v>0</v>
      </c>
      <c r="J12" s="90">
        <v>0</v>
      </c>
      <c r="K12" s="90">
        <v>0</v>
      </c>
      <c r="L12" s="720">
        <f t="shared" si="1"/>
        <v>19017</v>
      </c>
      <c r="M12" s="251">
        <v>4297915</v>
      </c>
      <c r="N12" s="251">
        <v>0</v>
      </c>
      <c r="O12" s="251">
        <v>0</v>
      </c>
      <c r="P12" s="251">
        <v>0</v>
      </c>
      <c r="Q12" s="711">
        <f t="shared" si="2"/>
        <v>4297915</v>
      </c>
    </row>
    <row r="13" spans="1:20" ht="24.95" customHeight="1" x14ac:dyDescent="0.2">
      <c r="A13" s="188">
        <v>4</v>
      </c>
      <c r="B13" s="219" t="s">
        <v>389</v>
      </c>
      <c r="C13" s="90">
        <v>12514</v>
      </c>
      <c r="D13" s="90">
        <v>0</v>
      </c>
      <c r="E13" s="90">
        <v>0</v>
      </c>
      <c r="F13" s="90">
        <v>0</v>
      </c>
      <c r="G13" s="68">
        <f t="shared" si="0"/>
        <v>12514</v>
      </c>
      <c r="H13" s="90">
        <v>10061</v>
      </c>
      <c r="I13" s="90">
        <v>0</v>
      </c>
      <c r="J13" s="90">
        <v>0</v>
      </c>
      <c r="K13" s="90">
        <v>0</v>
      </c>
      <c r="L13" s="720">
        <f t="shared" si="1"/>
        <v>10061</v>
      </c>
      <c r="M13" s="251">
        <v>2334152</v>
      </c>
      <c r="N13" s="251">
        <v>0</v>
      </c>
      <c r="O13" s="251">
        <v>0</v>
      </c>
      <c r="P13" s="251">
        <v>0</v>
      </c>
      <c r="Q13" s="711">
        <f t="shared" si="2"/>
        <v>2334152</v>
      </c>
    </row>
    <row r="14" spans="1:20" ht="24.95" customHeight="1" x14ac:dyDescent="0.2">
      <c r="A14" s="188">
        <v>5</v>
      </c>
      <c r="B14" s="221" t="s">
        <v>390</v>
      </c>
      <c r="C14" s="90">
        <v>38386</v>
      </c>
      <c r="D14" s="90">
        <v>2841</v>
      </c>
      <c r="E14" s="90">
        <v>208</v>
      </c>
      <c r="F14" s="90">
        <v>1267</v>
      </c>
      <c r="G14" s="68">
        <f t="shared" si="0"/>
        <v>42702</v>
      </c>
      <c r="H14" s="90">
        <v>30043</v>
      </c>
      <c r="I14" s="90">
        <v>2134</v>
      </c>
      <c r="J14" s="90">
        <v>193</v>
      </c>
      <c r="K14" s="90">
        <v>1058</v>
      </c>
      <c r="L14" s="720">
        <f t="shared" si="1"/>
        <v>33428</v>
      </c>
      <c r="M14" s="251">
        <v>6789697</v>
      </c>
      <c r="N14" s="251">
        <v>473662</v>
      </c>
      <c r="O14" s="251">
        <v>45514</v>
      </c>
      <c r="P14" s="251">
        <v>245879</v>
      </c>
      <c r="Q14" s="711">
        <f t="shared" si="2"/>
        <v>7554752</v>
      </c>
    </row>
    <row r="15" spans="1:20" ht="24.95" customHeight="1" x14ac:dyDescent="0.2">
      <c r="A15" s="188">
        <v>6</v>
      </c>
      <c r="B15" s="219" t="s">
        <v>391</v>
      </c>
      <c r="C15" s="90">
        <v>79317</v>
      </c>
      <c r="D15" s="90">
        <v>2336</v>
      </c>
      <c r="E15" s="90">
        <v>0</v>
      </c>
      <c r="F15" s="90">
        <v>18436</v>
      </c>
      <c r="G15" s="68">
        <f t="shared" si="0"/>
        <v>100089</v>
      </c>
      <c r="H15" s="90">
        <v>51408</v>
      </c>
      <c r="I15" s="90">
        <v>2200</v>
      </c>
      <c r="J15" s="90">
        <v>216</v>
      </c>
      <c r="K15" s="90">
        <v>12395</v>
      </c>
      <c r="L15" s="720">
        <f t="shared" si="1"/>
        <v>66219</v>
      </c>
      <c r="M15" s="251">
        <v>11186334</v>
      </c>
      <c r="N15" s="251">
        <v>498141</v>
      </c>
      <c r="O15" s="251">
        <v>45799</v>
      </c>
      <c r="P15" s="251">
        <v>2771580</v>
      </c>
      <c r="Q15" s="711">
        <f t="shared" si="2"/>
        <v>14501854</v>
      </c>
    </row>
    <row r="16" spans="1:20" ht="24.95" customHeight="1" x14ac:dyDescent="0.2">
      <c r="A16" s="188">
        <v>7</v>
      </c>
      <c r="B16" s="221" t="s">
        <v>392</v>
      </c>
      <c r="C16" s="90">
        <v>33350</v>
      </c>
      <c r="D16" s="90">
        <v>263</v>
      </c>
      <c r="E16" s="90">
        <v>0</v>
      </c>
      <c r="F16" s="90">
        <v>205</v>
      </c>
      <c r="G16" s="68">
        <f t="shared" si="0"/>
        <v>33818</v>
      </c>
      <c r="H16" s="90">
        <v>29046</v>
      </c>
      <c r="I16" s="90">
        <v>172</v>
      </c>
      <c r="J16" s="90">
        <v>0</v>
      </c>
      <c r="K16" s="90">
        <v>183</v>
      </c>
      <c r="L16" s="720">
        <f t="shared" si="1"/>
        <v>29401</v>
      </c>
      <c r="M16" s="251">
        <v>6734349</v>
      </c>
      <c r="N16" s="251">
        <v>43021</v>
      </c>
      <c r="O16" s="251">
        <v>0</v>
      </c>
      <c r="P16" s="251">
        <v>43690</v>
      </c>
      <c r="Q16" s="711">
        <f t="shared" si="2"/>
        <v>6821060</v>
      </c>
    </row>
    <row r="17" spans="1:18" ht="24.95" customHeight="1" x14ac:dyDescent="0.2">
      <c r="A17" s="188">
        <v>8</v>
      </c>
      <c r="B17" s="219" t="s">
        <v>393</v>
      </c>
      <c r="C17" s="90">
        <v>23514</v>
      </c>
      <c r="D17" s="90">
        <v>28</v>
      </c>
      <c r="E17" s="90">
        <v>0</v>
      </c>
      <c r="F17" s="90">
        <v>0</v>
      </c>
      <c r="G17" s="68">
        <f t="shared" si="0"/>
        <v>23542</v>
      </c>
      <c r="H17" s="90">
        <v>21826</v>
      </c>
      <c r="I17" s="90">
        <v>21</v>
      </c>
      <c r="J17" s="90">
        <v>0</v>
      </c>
      <c r="K17" s="90">
        <v>0</v>
      </c>
      <c r="L17" s="720">
        <f t="shared" si="1"/>
        <v>21847</v>
      </c>
      <c r="M17" s="251">
        <v>4932114</v>
      </c>
      <c r="N17" s="251">
        <v>5225</v>
      </c>
      <c r="O17" s="251">
        <v>0</v>
      </c>
      <c r="P17" s="251">
        <v>0</v>
      </c>
      <c r="Q17" s="711">
        <f t="shared" si="2"/>
        <v>4937339</v>
      </c>
    </row>
    <row r="18" spans="1:18" ht="24.95" customHeight="1" x14ac:dyDescent="0.2">
      <c r="A18" s="188">
        <v>9</v>
      </c>
      <c r="B18" s="219" t="s">
        <v>394</v>
      </c>
      <c r="C18" s="90">
        <v>18563</v>
      </c>
      <c r="D18" s="90">
        <v>66</v>
      </c>
      <c r="E18" s="90">
        <v>0</v>
      </c>
      <c r="F18" s="90">
        <v>0</v>
      </c>
      <c r="G18" s="68">
        <f t="shared" si="0"/>
        <v>18629</v>
      </c>
      <c r="H18" s="90">
        <v>16421</v>
      </c>
      <c r="I18" s="90">
        <v>61</v>
      </c>
      <c r="J18" s="90">
        <v>0</v>
      </c>
      <c r="K18" s="90">
        <v>0</v>
      </c>
      <c r="L18" s="720">
        <f t="shared" si="1"/>
        <v>16482</v>
      </c>
      <c r="M18" s="251">
        <v>3827998</v>
      </c>
      <c r="N18" s="251">
        <v>12280</v>
      </c>
      <c r="O18" s="251">
        <v>0</v>
      </c>
      <c r="P18" s="251">
        <v>0</v>
      </c>
      <c r="Q18" s="711">
        <f t="shared" si="2"/>
        <v>3840278</v>
      </c>
    </row>
    <row r="19" spans="1:18" ht="24.95" customHeight="1" x14ac:dyDescent="0.2">
      <c r="A19" s="188">
        <v>10</v>
      </c>
      <c r="B19" s="219" t="s">
        <v>395</v>
      </c>
      <c r="C19" s="90">
        <v>12445</v>
      </c>
      <c r="D19" s="90">
        <v>0</v>
      </c>
      <c r="E19" s="90">
        <v>0</v>
      </c>
      <c r="F19" s="90">
        <v>0</v>
      </c>
      <c r="G19" s="68">
        <f t="shared" si="0"/>
        <v>12445</v>
      </c>
      <c r="H19" s="90">
        <v>11343</v>
      </c>
      <c r="I19" s="90">
        <v>0</v>
      </c>
      <c r="J19" s="90">
        <v>0</v>
      </c>
      <c r="K19" s="90">
        <v>0</v>
      </c>
      <c r="L19" s="720">
        <f t="shared" si="1"/>
        <v>11343</v>
      </c>
      <c r="M19" s="251">
        <v>2642926</v>
      </c>
      <c r="N19" s="251">
        <v>0</v>
      </c>
      <c r="O19" s="251">
        <v>0</v>
      </c>
      <c r="P19" s="251">
        <v>0</v>
      </c>
      <c r="Q19" s="711">
        <f t="shared" si="2"/>
        <v>2642926</v>
      </c>
    </row>
    <row r="20" spans="1:18" ht="24.95" customHeight="1" x14ac:dyDescent="0.2">
      <c r="A20" s="188">
        <v>11</v>
      </c>
      <c r="B20" s="219" t="s">
        <v>396</v>
      </c>
      <c r="C20" s="90">
        <v>29080</v>
      </c>
      <c r="D20" s="90">
        <v>0</v>
      </c>
      <c r="E20" s="90">
        <v>0</v>
      </c>
      <c r="F20" s="90">
        <v>0</v>
      </c>
      <c r="G20" s="68">
        <f t="shared" si="0"/>
        <v>29080</v>
      </c>
      <c r="H20" s="90">
        <v>25844</v>
      </c>
      <c r="I20" s="90">
        <v>0</v>
      </c>
      <c r="J20" s="90">
        <v>0</v>
      </c>
      <c r="K20" s="90">
        <v>0</v>
      </c>
      <c r="L20" s="720">
        <f t="shared" si="1"/>
        <v>25844</v>
      </c>
      <c r="M20" s="251">
        <v>5918173</v>
      </c>
      <c r="N20" s="251">
        <v>0</v>
      </c>
      <c r="O20" s="251">
        <v>0</v>
      </c>
      <c r="P20" s="251">
        <v>0</v>
      </c>
      <c r="Q20" s="711">
        <f t="shared" si="2"/>
        <v>5918173</v>
      </c>
      <c r="R20" s="692"/>
    </row>
    <row r="21" spans="1:18" ht="24.95" customHeight="1" x14ac:dyDescent="0.2">
      <c r="A21" s="188">
        <v>12</v>
      </c>
      <c r="B21" s="219" t="s">
        <v>397</v>
      </c>
      <c r="C21" s="90">
        <v>64635</v>
      </c>
      <c r="D21" s="90">
        <v>2102</v>
      </c>
      <c r="E21" s="90">
        <v>51</v>
      </c>
      <c r="F21" s="90">
        <v>5740</v>
      </c>
      <c r="G21" s="68">
        <f t="shared" si="0"/>
        <v>72528</v>
      </c>
      <c r="H21" s="90">
        <v>46615</v>
      </c>
      <c r="I21" s="90">
        <v>1619</v>
      </c>
      <c r="J21" s="90">
        <v>31</v>
      </c>
      <c r="K21" s="90">
        <v>4478</v>
      </c>
      <c r="L21" s="720">
        <f t="shared" si="1"/>
        <v>52743</v>
      </c>
      <c r="M21" s="251">
        <v>10662086</v>
      </c>
      <c r="N21" s="251">
        <v>372179</v>
      </c>
      <c r="O21" s="251">
        <v>6945</v>
      </c>
      <c r="P21" s="251">
        <v>1036898</v>
      </c>
      <c r="Q21" s="711">
        <f t="shared" si="2"/>
        <v>12078108</v>
      </c>
      <c r="R21" s="692"/>
    </row>
    <row r="22" spans="1:18" ht="24.95" customHeight="1" x14ac:dyDescent="0.2">
      <c r="A22" s="188">
        <v>13</v>
      </c>
      <c r="B22" s="219" t="s">
        <v>398</v>
      </c>
      <c r="C22" s="90">
        <v>17159</v>
      </c>
      <c r="D22" s="90">
        <v>0</v>
      </c>
      <c r="E22" s="90">
        <v>0</v>
      </c>
      <c r="F22" s="90">
        <v>0</v>
      </c>
      <c r="G22" s="68">
        <f t="shared" si="0"/>
        <v>17159</v>
      </c>
      <c r="H22" s="90">
        <v>15837</v>
      </c>
      <c r="I22" s="90">
        <v>0</v>
      </c>
      <c r="J22" s="90">
        <v>0</v>
      </c>
      <c r="K22" s="90">
        <v>0</v>
      </c>
      <c r="L22" s="720">
        <f t="shared" si="1"/>
        <v>15837</v>
      </c>
      <c r="M22" s="251">
        <v>3642609</v>
      </c>
      <c r="N22" s="251">
        <v>0</v>
      </c>
      <c r="O22" s="251">
        <v>0</v>
      </c>
      <c r="P22" s="251">
        <v>0</v>
      </c>
      <c r="Q22" s="711">
        <f t="shared" si="2"/>
        <v>3642609</v>
      </c>
    </row>
    <row r="23" spans="1:18" s="11" customFormat="1" x14ac:dyDescent="0.2">
      <c r="A23" s="188" t="s">
        <v>18</v>
      </c>
      <c r="B23" s="188"/>
      <c r="C23" s="188">
        <f>SUM(C10:C22)</f>
        <v>384735</v>
      </c>
      <c r="D23" s="188">
        <f t="shared" ref="D23:L23" si="3">SUM(D10:D22)</f>
        <v>7822</v>
      </c>
      <c r="E23" s="188">
        <f t="shared" si="3"/>
        <v>259</v>
      </c>
      <c r="F23" s="188">
        <f t="shared" si="3"/>
        <v>25648</v>
      </c>
      <c r="G23" s="188">
        <f t="shared" si="3"/>
        <v>418464</v>
      </c>
      <c r="H23" s="188">
        <f>SUM(H10:H22)</f>
        <v>309826</v>
      </c>
      <c r="I23" s="188">
        <f t="shared" si="3"/>
        <v>6370</v>
      </c>
      <c r="J23" s="188">
        <f t="shared" si="3"/>
        <v>440</v>
      </c>
      <c r="K23" s="188">
        <f t="shared" si="3"/>
        <v>18114</v>
      </c>
      <c r="L23" s="188">
        <f t="shared" si="3"/>
        <v>334750</v>
      </c>
      <c r="M23" s="242">
        <f>SUM(M10:M22)</f>
        <v>70407416</v>
      </c>
      <c r="N23" s="242">
        <f t="shared" ref="N23:Q23" si="4">SUM(N10:N22)</f>
        <v>1435829</v>
      </c>
      <c r="O23" s="242">
        <f t="shared" si="4"/>
        <v>98258</v>
      </c>
      <c r="P23" s="242">
        <f t="shared" si="4"/>
        <v>4098047</v>
      </c>
      <c r="Q23" s="242">
        <f t="shared" si="4"/>
        <v>76039550</v>
      </c>
    </row>
    <row r="24" spans="1:18" x14ac:dyDescent="0.2">
      <c r="A24" s="51"/>
      <c r="B24" s="16"/>
      <c r="C24" s="16"/>
      <c r="D24" s="16"/>
      <c r="E24" s="16"/>
      <c r="F24" s="16"/>
      <c r="G24" s="975">
        <f>'enrolment vs opted_UPY'!G24</f>
        <v>298446</v>
      </c>
      <c r="H24" s="16"/>
      <c r="I24" s="16"/>
      <c r="J24" s="16"/>
      <c r="K24" s="16"/>
      <c r="L24" s="975">
        <f>'enrolment vs opted_UPY'!L24</f>
        <v>233156</v>
      </c>
      <c r="M24" s="16"/>
      <c r="N24" s="16"/>
      <c r="O24" s="16"/>
      <c r="P24" s="16"/>
      <c r="Q24" s="16"/>
    </row>
    <row r="25" spans="1:18" x14ac:dyDescent="0.2">
      <c r="A25" s="7" t="s">
        <v>7</v>
      </c>
      <c r="B25"/>
      <c r="D25"/>
      <c r="G25" s="961">
        <f>G23+G24</f>
        <v>716910</v>
      </c>
      <c r="L25" s="961">
        <f>L23+L24</f>
        <v>567906</v>
      </c>
    </row>
    <row r="26" spans="1:18" x14ac:dyDescent="0.2">
      <c r="A26" t="s">
        <v>8</v>
      </c>
      <c r="B26"/>
      <c r="D26"/>
      <c r="L26" s="974">
        <f>L25/G25</f>
        <v>0.79215801146587439</v>
      </c>
    </row>
    <row r="27" spans="1:18" x14ac:dyDescent="0.2">
      <c r="A27" t="s">
        <v>9</v>
      </c>
      <c r="B27"/>
      <c r="D27"/>
      <c r="I27" s="8"/>
      <c r="J27" s="8"/>
      <c r="K27" s="8"/>
      <c r="L27" s="8"/>
    </row>
    <row r="28" spans="1:18" x14ac:dyDescent="0.2">
      <c r="A28" s="284" t="s">
        <v>581</v>
      </c>
      <c r="B28" s="284"/>
      <c r="D28"/>
      <c r="I28" s="16"/>
      <c r="J28" s="16"/>
      <c r="K28" s="16"/>
      <c r="L28" s="16"/>
    </row>
    <row r="30" spans="1:18" x14ac:dyDescent="0.2">
      <c r="A30" s="11" t="s">
        <v>11</v>
      </c>
      <c r="B30" s="11"/>
      <c r="C30" s="11"/>
      <c r="D30" s="11"/>
      <c r="E30" s="11"/>
      <c r="F30" s="11"/>
      <c r="G30" s="11"/>
      <c r="I30" s="11"/>
      <c r="O30" s="1161" t="s">
        <v>12</v>
      </c>
      <c r="P30" s="1161"/>
      <c r="Q30" s="1162"/>
    </row>
    <row r="31" spans="1:18" ht="12.75" customHeight="1" x14ac:dyDescent="0.2">
      <c r="A31" s="1161" t="s">
        <v>13</v>
      </c>
      <c r="B31" s="1161"/>
      <c r="C31" s="1161"/>
      <c r="D31" s="1161"/>
      <c r="E31" s="1161"/>
      <c r="F31" s="1161"/>
      <c r="G31" s="1161"/>
      <c r="H31" s="1161"/>
      <c r="I31" s="1161"/>
      <c r="J31" s="1161"/>
      <c r="K31" s="1161"/>
      <c r="L31" s="1161"/>
      <c r="M31" s="1161"/>
      <c r="N31" s="1161"/>
      <c r="O31" s="1161"/>
      <c r="P31" s="1161"/>
      <c r="Q31" s="1161"/>
    </row>
    <row r="32" spans="1:18" ht="12.75" customHeight="1" x14ac:dyDescent="0.2">
      <c r="B32" s="54"/>
      <c r="C32" s="54"/>
      <c r="D32" s="54"/>
      <c r="E32" s="54"/>
      <c r="F32" s="54"/>
      <c r="G32" s="54"/>
      <c r="H32" s="54"/>
      <c r="I32" s="54"/>
      <c r="J32" s="54"/>
      <c r="K32" s="54"/>
      <c r="L32" s="54"/>
      <c r="M32" s="54"/>
      <c r="N32" s="54"/>
      <c r="O32" s="1091" t="s">
        <v>87</v>
      </c>
      <c r="P32" s="1091"/>
      <c r="Q32" s="1091"/>
      <c r="R32" s="54"/>
    </row>
    <row r="33" spans="1:17" x14ac:dyDescent="0.2">
      <c r="A33" s="11"/>
      <c r="B33" s="11"/>
      <c r="C33" s="11"/>
      <c r="D33" s="11"/>
      <c r="E33" s="11"/>
      <c r="F33" s="11"/>
      <c r="N33" s="1075" t="s">
        <v>84</v>
      </c>
      <c r="O33" s="1075"/>
      <c r="P33" s="1075"/>
      <c r="Q33" s="1075"/>
    </row>
    <row r="34" spans="1:17" x14ac:dyDescent="0.2">
      <c r="A34" s="1157"/>
      <c r="B34" s="1157"/>
      <c r="C34" s="1157"/>
      <c r="D34" s="1157"/>
      <c r="E34" s="1157"/>
      <c r="F34" s="1157"/>
      <c r="G34" s="1157"/>
      <c r="H34" s="1157"/>
      <c r="I34" s="1157"/>
      <c r="J34" s="1157"/>
      <c r="K34" s="1157"/>
      <c r="L34" s="1157"/>
    </row>
  </sheetData>
  <mergeCells count="16">
    <mergeCell ref="A34:L34"/>
    <mergeCell ref="O1:Q1"/>
    <mergeCell ref="A7:A8"/>
    <mergeCell ref="B7:B8"/>
    <mergeCell ref="C7:G7"/>
    <mergeCell ref="O32:Q32"/>
    <mergeCell ref="H7:L7"/>
    <mergeCell ref="A3:Q3"/>
    <mergeCell ref="A5:Q5"/>
    <mergeCell ref="A2:Q2"/>
    <mergeCell ref="M7:Q7"/>
    <mergeCell ref="N33:Q33"/>
    <mergeCell ref="O30:Q30"/>
    <mergeCell ref="A31:Q31"/>
    <mergeCell ref="N6:Q6"/>
    <mergeCell ref="A6:C6"/>
  </mergeCells>
  <phoneticPr fontId="0" type="noConversion"/>
  <printOptions horizontalCentered="1"/>
  <pageMargins left="0.63" right="0.34" top="0.27" bottom="0" header="0.43" footer="0.31496062992125984"/>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39997558519241921"/>
    <pageSetUpPr fitToPage="1"/>
  </sheetPr>
  <dimension ref="A1:S37"/>
  <sheetViews>
    <sheetView view="pageBreakPreview" topLeftCell="A9" zoomScale="90" zoomScaleSheetLayoutView="90" workbookViewId="0">
      <selection activeCell="G11" sqref="G11:G23"/>
    </sheetView>
  </sheetViews>
  <sheetFormatPr defaultRowHeight="12.75" x14ac:dyDescent="0.2"/>
  <cols>
    <col min="1" max="1" width="7.140625" style="12" customWidth="1"/>
    <col min="2" max="2" width="11.42578125" style="12" customWidth="1"/>
    <col min="3" max="3" width="9.5703125" style="12" customWidth="1"/>
    <col min="4" max="4" width="9.28515625" style="12" customWidth="1"/>
    <col min="5" max="6" width="9.140625" style="12"/>
    <col min="7" max="7" width="11.7109375" style="12" customWidth="1"/>
    <col min="8" max="8" width="11" style="12" customWidth="1"/>
    <col min="9" max="9" width="9.7109375" style="12" customWidth="1"/>
    <col min="10" max="10" width="9.5703125" style="12" customWidth="1"/>
    <col min="11" max="11" width="9.28515625" style="12" customWidth="1"/>
    <col min="12" max="12" width="11.7109375" style="12" customWidth="1"/>
    <col min="13" max="13" width="9.7109375" style="12" customWidth="1"/>
    <col min="14" max="14" width="8.7109375" style="12" customWidth="1"/>
    <col min="15" max="15" width="8.85546875" style="12" customWidth="1"/>
    <col min="16" max="16" width="9.140625" style="12"/>
    <col min="17" max="17" width="12.42578125" style="12" customWidth="1"/>
    <col min="18" max="18" width="9.140625" style="12" hidden="1" customWidth="1"/>
    <col min="19" max="16384" width="9.140625" style="12"/>
  </cols>
  <sheetData>
    <row r="1" spans="1:19" customFormat="1" ht="12.75" customHeight="1" x14ac:dyDescent="0.2">
      <c r="D1" s="12"/>
      <c r="E1" s="12"/>
      <c r="F1" s="12"/>
      <c r="G1" s="12"/>
      <c r="H1" s="12"/>
      <c r="I1" s="12"/>
      <c r="J1" s="12"/>
      <c r="K1" s="12"/>
      <c r="L1" s="12"/>
      <c r="M1" s="12"/>
      <c r="N1" s="12"/>
      <c r="O1" s="1158" t="s">
        <v>62</v>
      </c>
      <c r="P1" s="1158"/>
      <c r="Q1" s="1158"/>
    </row>
    <row r="2" spans="1:19" customFormat="1" ht="15.75" x14ac:dyDescent="0.25">
      <c r="A2" s="1131" t="s">
        <v>0</v>
      </c>
      <c r="B2" s="1131"/>
      <c r="C2" s="1131"/>
      <c r="D2" s="1131"/>
      <c r="E2" s="1131"/>
      <c r="F2" s="1131"/>
      <c r="G2" s="1131"/>
      <c r="H2" s="1131"/>
      <c r="I2" s="1131"/>
      <c r="J2" s="1131"/>
      <c r="K2" s="1131"/>
      <c r="L2" s="1131"/>
      <c r="M2" s="1131"/>
      <c r="N2" s="1131"/>
      <c r="O2" s="1131"/>
      <c r="P2" s="1131"/>
      <c r="Q2" s="1131"/>
    </row>
    <row r="3" spans="1:19" customFormat="1" ht="15.75" x14ac:dyDescent="0.25">
      <c r="A3" s="1131" t="s">
        <v>788</v>
      </c>
      <c r="B3" s="1131"/>
      <c r="C3" s="1131"/>
      <c r="D3" s="1131"/>
      <c r="E3" s="1131"/>
      <c r="F3" s="1131"/>
      <c r="G3" s="1131"/>
      <c r="H3" s="1131"/>
      <c r="I3" s="1131"/>
      <c r="J3" s="1131"/>
      <c r="K3" s="1131"/>
      <c r="L3" s="1131"/>
      <c r="M3" s="1131"/>
      <c r="N3" s="1131"/>
      <c r="O3" s="1131"/>
      <c r="P3" s="1131"/>
      <c r="Q3" s="1131"/>
    </row>
    <row r="4" spans="1:19" customFormat="1" ht="11.25" customHeight="1" x14ac:dyDescent="0.2"/>
    <row r="5" spans="1:19" customFormat="1" ht="15.75" customHeight="1" x14ac:dyDescent="0.25">
      <c r="A5" s="1160" t="s">
        <v>225</v>
      </c>
      <c r="B5" s="1160"/>
      <c r="C5" s="1160"/>
      <c r="D5" s="1160"/>
      <c r="E5" s="1160"/>
      <c r="F5" s="1160"/>
      <c r="G5" s="1160"/>
      <c r="H5" s="1160"/>
      <c r="I5" s="1160"/>
      <c r="J5" s="1160"/>
      <c r="K5" s="1160"/>
      <c r="L5" s="1160"/>
      <c r="M5" s="1160"/>
      <c r="N5" s="1160"/>
      <c r="O5" s="1160"/>
      <c r="P5" s="1160"/>
      <c r="Q5" s="1160"/>
    </row>
    <row r="7" spans="1:19" ht="12.6" customHeight="1" x14ac:dyDescent="0.2">
      <c r="A7" s="1037" t="s">
        <v>456</v>
      </c>
      <c r="B7" s="1037"/>
      <c r="C7" s="1037"/>
      <c r="N7" s="1163" t="s">
        <v>795</v>
      </c>
      <c r="O7" s="1163"/>
      <c r="P7" s="1163"/>
      <c r="Q7" s="1163"/>
      <c r="R7" s="1163"/>
    </row>
    <row r="8" spans="1:19" s="11" customFormat="1" ht="29.45" customHeight="1" x14ac:dyDescent="0.2">
      <c r="A8" s="1145" t="s">
        <v>2</v>
      </c>
      <c r="B8" s="1145" t="s">
        <v>3</v>
      </c>
      <c r="C8" s="1135" t="s">
        <v>798</v>
      </c>
      <c r="D8" s="1135"/>
      <c r="E8" s="1135"/>
      <c r="F8" s="1168"/>
      <c r="G8" s="1168"/>
      <c r="H8" s="1135" t="s">
        <v>721</v>
      </c>
      <c r="I8" s="1135"/>
      <c r="J8" s="1135"/>
      <c r="K8" s="1135"/>
      <c r="L8" s="1135"/>
      <c r="M8" s="1165" t="s">
        <v>115</v>
      </c>
      <c r="N8" s="1166"/>
      <c r="O8" s="1166"/>
      <c r="P8" s="1166"/>
      <c r="Q8" s="1167"/>
    </row>
    <row r="9" spans="1:19" s="11" customFormat="1" ht="48" customHeight="1" x14ac:dyDescent="0.2">
      <c r="A9" s="1145"/>
      <c r="B9" s="1145"/>
      <c r="C9" s="189" t="s">
        <v>234</v>
      </c>
      <c r="D9" s="189" t="s">
        <v>235</v>
      </c>
      <c r="E9" s="189" t="s">
        <v>487</v>
      </c>
      <c r="F9" s="194" t="s">
        <v>241</v>
      </c>
      <c r="G9" s="194" t="s">
        <v>122</v>
      </c>
      <c r="H9" s="189" t="s">
        <v>234</v>
      </c>
      <c r="I9" s="189" t="s">
        <v>235</v>
      </c>
      <c r="J9" s="189" t="s">
        <v>487</v>
      </c>
      <c r="K9" s="189" t="s">
        <v>241</v>
      </c>
      <c r="L9" s="189" t="s">
        <v>123</v>
      </c>
      <c r="M9" s="189" t="s">
        <v>234</v>
      </c>
      <c r="N9" s="189" t="s">
        <v>235</v>
      </c>
      <c r="O9" s="189" t="s">
        <v>487</v>
      </c>
      <c r="P9" s="194" t="s">
        <v>241</v>
      </c>
      <c r="Q9" s="189" t="s">
        <v>491</v>
      </c>
      <c r="R9" s="19"/>
      <c r="S9" s="20"/>
    </row>
    <row r="10" spans="1:19" s="11" customFormat="1" x14ac:dyDescent="0.2">
      <c r="A10" s="189">
        <v>1</v>
      </c>
      <c r="B10" s="189">
        <v>2</v>
      </c>
      <c r="C10" s="189">
        <v>3</v>
      </c>
      <c r="D10" s="189">
        <v>4</v>
      </c>
      <c r="E10" s="189">
        <v>5</v>
      </c>
      <c r="F10" s="194">
        <v>6</v>
      </c>
      <c r="G10" s="189">
        <v>7</v>
      </c>
      <c r="H10" s="189">
        <v>8</v>
      </c>
      <c r="I10" s="189">
        <v>9</v>
      </c>
      <c r="J10" s="189">
        <v>10</v>
      </c>
      <c r="K10" s="189">
        <v>11</v>
      </c>
      <c r="L10" s="189">
        <v>12</v>
      </c>
      <c r="M10" s="189">
        <v>13</v>
      </c>
      <c r="N10" s="188">
        <v>14</v>
      </c>
      <c r="O10" s="238">
        <v>15</v>
      </c>
      <c r="P10" s="189">
        <v>16</v>
      </c>
      <c r="Q10" s="189">
        <v>17</v>
      </c>
    </row>
    <row r="11" spans="1:19" ht="24.95" customHeight="1" x14ac:dyDescent="0.2">
      <c r="A11" s="188">
        <v>1</v>
      </c>
      <c r="B11" s="219" t="s">
        <v>386</v>
      </c>
      <c r="C11" s="90">
        <v>18636</v>
      </c>
      <c r="D11" s="90">
        <v>2603</v>
      </c>
      <c r="E11" s="90">
        <v>0</v>
      </c>
      <c r="F11" s="90">
        <v>0</v>
      </c>
      <c r="G11" s="223">
        <f>C11+D11+E11+F11</f>
        <v>21239</v>
      </c>
      <c r="H11" s="90">
        <v>15773</v>
      </c>
      <c r="I11" s="90">
        <v>2219</v>
      </c>
      <c r="J11" s="90">
        <v>0</v>
      </c>
      <c r="K11" s="90">
        <v>0</v>
      </c>
      <c r="L11" s="223">
        <f>H11+I11+J11+K11</f>
        <v>17992</v>
      </c>
      <c r="M11" s="251">
        <v>3566404</v>
      </c>
      <c r="N11" s="251">
        <v>499872</v>
      </c>
      <c r="O11" s="251">
        <v>0</v>
      </c>
      <c r="P11" s="251">
        <v>0</v>
      </c>
      <c r="Q11" s="68">
        <f>M11+N11+O11+P11</f>
        <v>4066276</v>
      </c>
    </row>
    <row r="12" spans="1:19" ht="24.95" customHeight="1" x14ac:dyDescent="0.2">
      <c r="A12" s="188">
        <v>2</v>
      </c>
      <c r="B12" s="219" t="s">
        <v>387</v>
      </c>
      <c r="C12" s="90">
        <v>8967</v>
      </c>
      <c r="D12" s="90">
        <v>1005</v>
      </c>
      <c r="E12" s="90">
        <v>0</v>
      </c>
      <c r="F12" s="90">
        <v>0</v>
      </c>
      <c r="G12" s="223">
        <f t="shared" ref="G12:G23" si="0">C12+D12+E12+F12</f>
        <v>9972</v>
      </c>
      <c r="H12" s="90">
        <v>7449</v>
      </c>
      <c r="I12" s="90">
        <v>773</v>
      </c>
      <c r="J12" s="90">
        <v>0</v>
      </c>
      <c r="K12" s="90">
        <v>0</v>
      </c>
      <c r="L12" s="223">
        <f t="shared" ref="L12:L23" si="1">H12+I12+J12+K12</f>
        <v>8222</v>
      </c>
      <c r="M12" s="251">
        <v>1708923</v>
      </c>
      <c r="N12" s="251">
        <v>173881</v>
      </c>
      <c r="O12" s="251">
        <v>0</v>
      </c>
      <c r="P12" s="251">
        <v>0</v>
      </c>
      <c r="Q12" s="68">
        <f t="shared" ref="Q12:Q23" si="2">M12+N12+O12+P12</f>
        <v>1882804</v>
      </c>
    </row>
    <row r="13" spans="1:19" ht="24.95" customHeight="1" x14ac:dyDescent="0.2">
      <c r="A13" s="188">
        <v>3</v>
      </c>
      <c r="B13" s="219" t="s">
        <v>388</v>
      </c>
      <c r="C13" s="90">
        <v>14231</v>
      </c>
      <c r="D13" s="90">
        <v>847</v>
      </c>
      <c r="E13" s="90">
        <v>0</v>
      </c>
      <c r="F13" s="90">
        <v>0</v>
      </c>
      <c r="G13" s="223">
        <f t="shared" si="0"/>
        <v>15078</v>
      </c>
      <c r="H13" s="90">
        <v>12747</v>
      </c>
      <c r="I13" s="90">
        <v>804</v>
      </c>
      <c r="J13" s="90">
        <v>0</v>
      </c>
      <c r="K13" s="90">
        <v>0</v>
      </c>
      <c r="L13" s="223">
        <f t="shared" si="1"/>
        <v>13551</v>
      </c>
      <c r="M13" s="251">
        <v>2819142</v>
      </c>
      <c r="N13" s="251">
        <v>175558</v>
      </c>
      <c r="O13" s="251">
        <v>0</v>
      </c>
      <c r="P13" s="251">
        <v>0</v>
      </c>
      <c r="Q13" s="68">
        <f t="shared" si="2"/>
        <v>2994700</v>
      </c>
    </row>
    <row r="14" spans="1:19" ht="24.95" customHeight="1" x14ac:dyDescent="0.2">
      <c r="A14" s="188">
        <v>4</v>
      </c>
      <c r="B14" s="219" t="s">
        <v>389</v>
      </c>
      <c r="C14" s="90">
        <v>9520</v>
      </c>
      <c r="D14" s="90">
        <v>807</v>
      </c>
      <c r="E14" s="90">
        <v>0</v>
      </c>
      <c r="F14" s="90">
        <v>0</v>
      </c>
      <c r="G14" s="223">
        <f t="shared" si="0"/>
        <v>10327</v>
      </c>
      <c r="H14" s="90">
        <v>7085</v>
      </c>
      <c r="I14" s="90">
        <v>674</v>
      </c>
      <c r="J14" s="90">
        <v>0</v>
      </c>
      <c r="K14" s="90">
        <v>0</v>
      </c>
      <c r="L14" s="223">
        <f t="shared" si="1"/>
        <v>7759</v>
      </c>
      <c r="M14" s="251">
        <v>1633061</v>
      </c>
      <c r="N14" s="251">
        <v>143740</v>
      </c>
      <c r="O14" s="251">
        <v>0</v>
      </c>
      <c r="P14" s="251">
        <v>0</v>
      </c>
      <c r="Q14" s="68">
        <f t="shared" si="2"/>
        <v>1776801</v>
      </c>
    </row>
    <row r="15" spans="1:19" ht="24.95" customHeight="1" x14ac:dyDescent="0.2">
      <c r="A15" s="188">
        <v>5</v>
      </c>
      <c r="B15" s="221" t="s">
        <v>390</v>
      </c>
      <c r="C15" s="90">
        <v>22411</v>
      </c>
      <c r="D15" s="90">
        <v>9185</v>
      </c>
      <c r="E15" s="90">
        <v>0</v>
      </c>
      <c r="F15" s="90">
        <v>175</v>
      </c>
      <c r="G15" s="223">
        <f t="shared" si="0"/>
        <v>31771</v>
      </c>
      <c r="H15" s="90">
        <v>16975</v>
      </c>
      <c r="I15" s="90">
        <v>6566</v>
      </c>
      <c r="J15" s="90">
        <v>0</v>
      </c>
      <c r="K15" s="90">
        <v>156</v>
      </c>
      <c r="L15" s="223">
        <f t="shared" si="1"/>
        <v>23697</v>
      </c>
      <c r="M15" s="251">
        <v>3791633</v>
      </c>
      <c r="N15" s="251">
        <v>1431099</v>
      </c>
      <c r="O15" s="251">
        <v>0</v>
      </c>
      <c r="P15" s="251">
        <v>38034</v>
      </c>
      <c r="Q15" s="68">
        <f t="shared" si="2"/>
        <v>5260766</v>
      </c>
    </row>
    <row r="16" spans="1:19" ht="24.95" customHeight="1" x14ac:dyDescent="0.2">
      <c r="A16" s="188">
        <v>6</v>
      </c>
      <c r="B16" s="219" t="s">
        <v>391</v>
      </c>
      <c r="C16" s="90">
        <v>31370</v>
      </c>
      <c r="D16" s="90">
        <v>17893</v>
      </c>
      <c r="E16" s="90">
        <v>0</v>
      </c>
      <c r="F16" s="90">
        <v>2139</v>
      </c>
      <c r="G16" s="223">
        <f t="shared" si="0"/>
        <v>51402</v>
      </c>
      <c r="H16" s="90">
        <v>19646</v>
      </c>
      <c r="I16" s="90">
        <v>10275</v>
      </c>
      <c r="J16" s="90">
        <v>0</v>
      </c>
      <c r="K16" s="90">
        <v>1794</v>
      </c>
      <c r="L16" s="223">
        <f t="shared" si="1"/>
        <v>31715</v>
      </c>
      <c r="M16" s="251">
        <v>4308807</v>
      </c>
      <c r="N16" s="251">
        <v>2176353</v>
      </c>
      <c r="O16" s="251">
        <v>0</v>
      </c>
      <c r="P16" s="251">
        <v>396971</v>
      </c>
      <c r="Q16" s="68">
        <f>M16+N16+O16+P16</f>
        <v>6882131</v>
      </c>
    </row>
    <row r="17" spans="1:19" ht="24.95" customHeight="1" x14ac:dyDescent="0.2">
      <c r="A17" s="188">
        <v>7</v>
      </c>
      <c r="B17" s="221" t="s">
        <v>392</v>
      </c>
      <c r="C17" s="90">
        <v>23918</v>
      </c>
      <c r="D17" s="90">
        <v>4388</v>
      </c>
      <c r="E17" s="90">
        <v>0</v>
      </c>
      <c r="F17" s="90">
        <v>58</v>
      </c>
      <c r="G17" s="223">
        <f t="shared" si="0"/>
        <v>28364</v>
      </c>
      <c r="H17" s="90">
        <v>19943</v>
      </c>
      <c r="I17" s="90">
        <v>3742</v>
      </c>
      <c r="J17" s="90">
        <v>0</v>
      </c>
      <c r="K17" s="90">
        <v>44</v>
      </c>
      <c r="L17" s="223">
        <f t="shared" si="1"/>
        <v>23729</v>
      </c>
      <c r="M17" s="251">
        <v>4638430</v>
      </c>
      <c r="N17" s="251">
        <v>856120</v>
      </c>
      <c r="O17" s="251">
        <v>0</v>
      </c>
      <c r="P17" s="251">
        <v>10653</v>
      </c>
      <c r="Q17" s="68">
        <f>M17+N17+O17+P17</f>
        <v>5505203</v>
      </c>
    </row>
    <row r="18" spans="1:19" ht="24.95" customHeight="1" x14ac:dyDescent="0.2">
      <c r="A18" s="188">
        <v>8</v>
      </c>
      <c r="B18" s="219" t="s">
        <v>393</v>
      </c>
      <c r="C18" s="90">
        <v>17196</v>
      </c>
      <c r="D18" s="90">
        <v>3678</v>
      </c>
      <c r="E18" s="90">
        <v>0</v>
      </c>
      <c r="F18" s="90">
        <v>0</v>
      </c>
      <c r="G18" s="223">
        <f t="shared" si="0"/>
        <v>20874</v>
      </c>
      <c r="H18" s="90">
        <v>14962</v>
      </c>
      <c r="I18" s="90">
        <v>3170</v>
      </c>
      <c r="J18" s="90">
        <v>0</v>
      </c>
      <c r="K18" s="90">
        <v>0</v>
      </c>
      <c r="L18" s="223">
        <f t="shared" si="1"/>
        <v>18132</v>
      </c>
      <c r="M18" s="251">
        <v>3362349</v>
      </c>
      <c r="N18" s="251">
        <v>699309</v>
      </c>
      <c r="O18" s="251">
        <v>0</v>
      </c>
      <c r="P18" s="251">
        <v>0</v>
      </c>
      <c r="Q18" s="68">
        <f>M18+N18+O18+P18</f>
        <v>4061658</v>
      </c>
    </row>
    <row r="19" spans="1:19" ht="24.95" customHeight="1" x14ac:dyDescent="0.2">
      <c r="A19" s="188">
        <v>9</v>
      </c>
      <c r="B19" s="219" t="s">
        <v>394</v>
      </c>
      <c r="C19" s="90">
        <v>14877</v>
      </c>
      <c r="D19" s="90">
        <v>397</v>
      </c>
      <c r="E19" s="90">
        <v>0</v>
      </c>
      <c r="F19" s="90">
        <v>0</v>
      </c>
      <c r="G19" s="223">
        <f t="shared" si="0"/>
        <v>15274</v>
      </c>
      <c r="H19" s="90">
        <v>12854</v>
      </c>
      <c r="I19" s="90">
        <v>354</v>
      </c>
      <c r="J19" s="90">
        <v>0</v>
      </c>
      <c r="K19" s="90">
        <v>0</v>
      </c>
      <c r="L19" s="223">
        <f t="shared" si="1"/>
        <v>13208</v>
      </c>
      <c r="M19" s="251">
        <v>2904582</v>
      </c>
      <c r="N19" s="251">
        <v>80482</v>
      </c>
      <c r="O19" s="251">
        <v>0</v>
      </c>
      <c r="P19" s="251">
        <v>0</v>
      </c>
      <c r="Q19" s="68">
        <f t="shared" si="2"/>
        <v>2985064</v>
      </c>
    </row>
    <row r="20" spans="1:19" ht="24.95" customHeight="1" x14ac:dyDescent="0.2">
      <c r="A20" s="188">
        <v>10</v>
      </c>
      <c r="B20" s="219" t="s">
        <v>395</v>
      </c>
      <c r="C20" s="90">
        <v>9043</v>
      </c>
      <c r="D20" s="90">
        <v>1854</v>
      </c>
      <c r="E20" s="90">
        <v>0</v>
      </c>
      <c r="F20" s="90">
        <v>0</v>
      </c>
      <c r="G20" s="223">
        <f t="shared" si="0"/>
        <v>10897</v>
      </c>
      <c r="H20" s="90">
        <v>8009</v>
      </c>
      <c r="I20" s="90">
        <v>1731</v>
      </c>
      <c r="J20" s="90">
        <v>0</v>
      </c>
      <c r="K20" s="90">
        <v>0</v>
      </c>
      <c r="L20" s="223">
        <f t="shared" si="1"/>
        <v>9740</v>
      </c>
      <c r="M20" s="251">
        <v>1877335</v>
      </c>
      <c r="N20" s="251">
        <v>392098</v>
      </c>
      <c r="O20" s="251">
        <v>0</v>
      </c>
      <c r="P20" s="251">
        <v>0</v>
      </c>
      <c r="Q20" s="68">
        <f t="shared" si="2"/>
        <v>2269433</v>
      </c>
      <c r="S20" s="714"/>
    </row>
    <row r="21" spans="1:19" ht="24.95" customHeight="1" x14ac:dyDescent="0.2">
      <c r="A21" s="188">
        <v>11</v>
      </c>
      <c r="B21" s="219" t="s">
        <v>396</v>
      </c>
      <c r="C21" s="90">
        <v>22857</v>
      </c>
      <c r="D21" s="90">
        <v>2568</v>
      </c>
      <c r="E21" s="90">
        <v>0</v>
      </c>
      <c r="F21" s="90">
        <v>0</v>
      </c>
      <c r="G21" s="223">
        <f t="shared" si="0"/>
        <v>25425</v>
      </c>
      <c r="H21" s="90">
        <v>19329</v>
      </c>
      <c r="I21" s="90">
        <v>2157</v>
      </c>
      <c r="J21" s="90">
        <v>0</v>
      </c>
      <c r="K21" s="90">
        <v>0</v>
      </c>
      <c r="L21" s="223">
        <f t="shared" si="1"/>
        <v>21486</v>
      </c>
      <c r="M21" s="251">
        <v>4297674</v>
      </c>
      <c r="N21" s="251">
        <v>472285</v>
      </c>
      <c r="O21" s="251">
        <v>0</v>
      </c>
      <c r="P21" s="251">
        <v>0</v>
      </c>
      <c r="Q21" s="68">
        <f t="shared" si="2"/>
        <v>4769959</v>
      </c>
      <c r="S21" s="714"/>
    </row>
    <row r="22" spans="1:19" ht="24.95" customHeight="1" x14ac:dyDescent="0.2">
      <c r="A22" s="188">
        <v>12</v>
      </c>
      <c r="B22" s="219" t="s">
        <v>397</v>
      </c>
      <c r="C22" s="90">
        <v>32179</v>
      </c>
      <c r="D22" s="90">
        <v>11048</v>
      </c>
      <c r="E22" s="90">
        <v>0</v>
      </c>
      <c r="F22" s="90">
        <v>2319</v>
      </c>
      <c r="G22" s="223">
        <f t="shared" si="0"/>
        <v>45546</v>
      </c>
      <c r="H22" s="90">
        <v>22941</v>
      </c>
      <c r="I22" s="90">
        <v>8188</v>
      </c>
      <c r="J22" s="90">
        <v>0</v>
      </c>
      <c r="K22" s="90">
        <v>1852</v>
      </c>
      <c r="L22" s="223">
        <f t="shared" si="1"/>
        <v>32981</v>
      </c>
      <c r="M22" s="251">
        <v>5192536</v>
      </c>
      <c r="N22" s="251">
        <v>1837315</v>
      </c>
      <c r="O22" s="251">
        <v>0</v>
      </c>
      <c r="P22" s="251">
        <v>423747</v>
      </c>
      <c r="Q22" s="68">
        <f t="shared" si="2"/>
        <v>7453598</v>
      </c>
    </row>
    <row r="23" spans="1:19" ht="24.95" customHeight="1" x14ac:dyDescent="0.2">
      <c r="A23" s="188">
        <v>13</v>
      </c>
      <c r="B23" s="219" t="s">
        <v>398</v>
      </c>
      <c r="C23" s="90">
        <v>12075</v>
      </c>
      <c r="D23" s="90">
        <v>202</v>
      </c>
      <c r="E23" s="90">
        <v>0</v>
      </c>
      <c r="F23" s="90">
        <v>0</v>
      </c>
      <c r="G23" s="223">
        <f t="shared" si="0"/>
        <v>12277</v>
      </c>
      <c r="H23" s="90">
        <v>10764</v>
      </c>
      <c r="I23" s="90">
        <v>180</v>
      </c>
      <c r="J23" s="90">
        <v>0</v>
      </c>
      <c r="K23" s="90">
        <v>0</v>
      </c>
      <c r="L23" s="223">
        <f t="shared" si="1"/>
        <v>10944</v>
      </c>
      <c r="M23" s="251">
        <v>2475391</v>
      </c>
      <c r="N23" s="251">
        <v>41672</v>
      </c>
      <c r="O23" s="251">
        <v>0</v>
      </c>
      <c r="P23" s="251">
        <v>0</v>
      </c>
      <c r="Q23" s="68">
        <f t="shared" si="2"/>
        <v>2517063</v>
      </c>
    </row>
    <row r="24" spans="1:19" s="11" customFormat="1" ht="20.100000000000001" customHeight="1" x14ac:dyDescent="0.2">
      <c r="A24" s="188" t="s">
        <v>18</v>
      </c>
      <c r="B24" s="188"/>
      <c r="C24" s="188">
        <f>SUM(C11:C23)</f>
        <v>237280</v>
      </c>
      <c r="D24" s="188">
        <f t="shared" ref="D24:Q24" si="3">SUM(D11:D23)</f>
        <v>56475</v>
      </c>
      <c r="E24" s="188">
        <f t="shared" si="3"/>
        <v>0</v>
      </c>
      <c r="F24" s="188">
        <f t="shared" si="3"/>
        <v>4691</v>
      </c>
      <c r="G24" s="188">
        <f>SUM(G11:G23)</f>
        <v>298446</v>
      </c>
      <c r="H24" s="188">
        <f t="shared" si="3"/>
        <v>188477</v>
      </c>
      <c r="I24" s="188">
        <f t="shared" si="3"/>
        <v>40833</v>
      </c>
      <c r="J24" s="188">
        <f t="shared" si="3"/>
        <v>0</v>
      </c>
      <c r="K24" s="188">
        <f t="shared" si="3"/>
        <v>3846</v>
      </c>
      <c r="L24" s="188">
        <f>SUM(L11:L23)</f>
        <v>233156</v>
      </c>
      <c r="M24" s="775">
        <f t="shared" si="3"/>
        <v>42576267</v>
      </c>
      <c r="N24" s="775">
        <f t="shared" si="3"/>
        <v>8979784</v>
      </c>
      <c r="O24" s="775">
        <f t="shared" si="3"/>
        <v>0</v>
      </c>
      <c r="P24" s="775">
        <f t="shared" si="3"/>
        <v>869405</v>
      </c>
      <c r="Q24" s="188">
        <f t="shared" si="3"/>
        <v>52425456</v>
      </c>
    </row>
    <row r="25" spans="1:19" x14ac:dyDescent="0.2">
      <c r="A25" s="51"/>
      <c r="B25" s="16"/>
      <c r="C25" s="16"/>
      <c r="D25" s="16"/>
      <c r="E25" s="16"/>
      <c r="F25" s="16"/>
      <c r="G25" s="16"/>
      <c r="H25" s="16"/>
      <c r="I25" s="16"/>
      <c r="J25" s="16"/>
      <c r="K25" s="16"/>
      <c r="L25" s="16"/>
      <c r="M25" s="16"/>
      <c r="N25" s="16"/>
      <c r="O25" s="16"/>
      <c r="P25" s="16"/>
      <c r="Q25" s="16"/>
    </row>
    <row r="26" spans="1:19" x14ac:dyDescent="0.2">
      <c r="A26" s="7" t="s">
        <v>7</v>
      </c>
      <c r="B26"/>
      <c r="D26"/>
    </row>
    <row r="27" spans="1:19" x14ac:dyDescent="0.2">
      <c r="A27" t="s">
        <v>8</v>
      </c>
      <c r="B27"/>
      <c r="D27"/>
    </row>
    <row r="28" spans="1:19" x14ac:dyDescent="0.2">
      <c r="A28" t="s">
        <v>9</v>
      </c>
      <c r="B28"/>
      <c r="D28"/>
      <c r="I28" s="8"/>
      <c r="J28" s="8"/>
      <c r="K28" s="8"/>
      <c r="L28" s="8"/>
    </row>
    <row r="29" spans="1:19" x14ac:dyDescent="0.2">
      <c r="A29" s="284" t="s">
        <v>581</v>
      </c>
      <c r="B29" s="284"/>
      <c r="D29"/>
      <c r="I29" s="16"/>
      <c r="J29" s="16"/>
      <c r="K29" s="16"/>
      <c r="L29" s="16"/>
    </row>
    <row r="30" spans="1:19" x14ac:dyDescent="0.2">
      <c r="A30" s="1164"/>
      <c r="B30" s="1164"/>
      <c r="C30" s="1164"/>
      <c r="D30" s="1164"/>
      <c r="I30" s="16"/>
      <c r="J30" s="16"/>
      <c r="K30" s="16"/>
      <c r="L30" s="16"/>
    </row>
    <row r="31" spans="1:19" x14ac:dyDescent="0.2">
      <c r="I31" s="16"/>
      <c r="J31" s="16"/>
      <c r="K31" s="16"/>
      <c r="L31" s="16"/>
    </row>
    <row r="33" spans="1:19" x14ac:dyDescent="0.2">
      <c r="A33" s="11" t="s">
        <v>11</v>
      </c>
      <c r="B33" s="11"/>
      <c r="C33" s="11"/>
      <c r="D33" s="11"/>
      <c r="E33" s="11"/>
      <c r="F33" s="11"/>
      <c r="G33" s="11"/>
      <c r="I33" s="11"/>
      <c r="O33" s="1161" t="s">
        <v>12</v>
      </c>
      <c r="P33" s="1161"/>
      <c r="Q33" s="1162"/>
    </row>
    <row r="34" spans="1:19" ht="12.75" customHeight="1" x14ac:dyDescent="0.2">
      <c r="A34" s="1161" t="s">
        <v>13</v>
      </c>
      <c r="B34" s="1161"/>
      <c r="C34" s="1161"/>
      <c r="D34" s="1161"/>
      <c r="E34" s="1161"/>
      <c r="F34" s="1161"/>
      <c r="G34" s="1161"/>
      <c r="H34" s="1161"/>
      <c r="I34" s="1161"/>
      <c r="J34" s="1161"/>
      <c r="K34" s="1161"/>
      <c r="L34" s="1161"/>
      <c r="M34" s="1161"/>
      <c r="N34" s="1161"/>
      <c r="O34" s="1161"/>
      <c r="P34" s="1161"/>
      <c r="Q34" s="1161"/>
    </row>
    <row r="35" spans="1:19" ht="12.75" customHeight="1" x14ac:dyDescent="0.2">
      <c r="A35" s="1161" t="s">
        <v>93</v>
      </c>
      <c r="B35" s="1161"/>
      <c r="C35" s="1161"/>
      <c r="D35" s="1161"/>
      <c r="E35" s="1161"/>
      <c r="F35" s="1161"/>
      <c r="G35" s="1161"/>
      <c r="H35" s="1161"/>
      <c r="I35" s="1161"/>
      <c r="J35" s="1161"/>
      <c r="K35" s="1161"/>
      <c r="L35" s="1161"/>
      <c r="M35" s="1161"/>
      <c r="N35" s="1161"/>
      <c r="O35" s="1161"/>
      <c r="P35" s="1161"/>
      <c r="Q35" s="1161"/>
      <c r="R35" s="54"/>
      <c r="S35" s="54"/>
    </row>
    <row r="36" spans="1:19" x14ac:dyDescent="0.2">
      <c r="A36" s="11"/>
      <c r="B36" s="11"/>
      <c r="C36" s="11"/>
      <c r="D36" s="11"/>
      <c r="E36" s="11"/>
      <c r="F36" s="11"/>
      <c r="N36" s="1075" t="s">
        <v>84</v>
      </c>
      <c r="O36" s="1075"/>
      <c r="P36" s="1075"/>
      <c r="Q36" s="1075"/>
    </row>
    <row r="37" spans="1:19" x14ac:dyDescent="0.2">
      <c r="A37" s="1157"/>
      <c r="B37" s="1157"/>
      <c r="C37" s="1157"/>
      <c r="D37" s="1157"/>
      <c r="E37" s="1157"/>
      <c r="F37" s="1157"/>
      <c r="G37" s="1157"/>
      <c r="H37" s="1157"/>
      <c r="I37" s="1157"/>
      <c r="J37" s="1157"/>
      <c r="K37" s="1157"/>
      <c r="L37" s="1157"/>
    </row>
  </sheetData>
  <mergeCells count="17">
    <mergeCell ref="O1:Q1"/>
    <mergeCell ref="M8:Q8"/>
    <mergeCell ref="A34:Q34"/>
    <mergeCell ref="A8:A9"/>
    <mergeCell ref="A35:Q35"/>
    <mergeCell ref="B8:B9"/>
    <mergeCell ref="A2:Q2"/>
    <mergeCell ref="A3:Q3"/>
    <mergeCell ref="A5:Q5"/>
    <mergeCell ref="N7:R7"/>
    <mergeCell ref="C8:G8"/>
    <mergeCell ref="H8:L8"/>
    <mergeCell ref="A30:D30"/>
    <mergeCell ref="O33:Q33"/>
    <mergeCell ref="A7:C7"/>
    <mergeCell ref="A37:L37"/>
    <mergeCell ref="N36:Q36"/>
  </mergeCells>
  <phoneticPr fontId="0" type="noConversion"/>
  <printOptions horizontalCentered="1"/>
  <pageMargins left="0.70866141732283472" right="0.39" top="0.23622047244094491" bottom="0" header="0.31496062992125984" footer="0.31496062992125984"/>
  <pageSetup paperSize="9" scale="8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FF00"/>
    <pageSetUpPr fitToPage="1"/>
  </sheetPr>
  <dimension ref="A1:M31"/>
  <sheetViews>
    <sheetView view="pageBreakPreview" topLeftCell="A7" zoomScaleSheetLayoutView="100" workbookViewId="0">
      <selection activeCell="J9" sqref="J9"/>
    </sheetView>
  </sheetViews>
  <sheetFormatPr defaultRowHeight="12.75" x14ac:dyDescent="0.2"/>
  <cols>
    <col min="1" max="1" width="8" style="643" customWidth="1"/>
    <col min="2" max="2" width="18.85546875" style="643" customWidth="1"/>
    <col min="3" max="3" width="19.42578125" style="643" customWidth="1"/>
    <col min="4" max="4" width="22" style="643" customWidth="1"/>
    <col min="5" max="5" width="21.7109375" style="643" customWidth="1"/>
    <col min="6" max="6" width="20.28515625" style="643" customWidth="1"/>
    <col min="7" max="7" width="18.7109375" style="643" customWidth="1"/>
    <col min="8" max="16384" width="9.140625" style="643"/>
  </cols>
  <sheetData>
    <row r="1" spans="1:7" ht="20.25" customHeight="1" x14ac:dyDescent="0.25">
      <c r="G1" s="644" t="s">
        <v>722</v>
      </c>
    </row>
    <row r="2" spans="1:7" ht="18" x14ac:dyDescent="0.35">
      <c r="A2" s="1170" t="s">
        <v>0</v>
      </c>
      <c r="B2" s="1170"/>
      <c r="C2" s="1170"/>
      <c r="D2" s="1170"/>
      <c r="E2" s="1170"/>
      <c r="F2" s="1170"/>
      <c r="G2" s="1170"/>
    </row>
    <row r="3" spans="1:7" ht="21" x14ac:dyDescent="0.35">
      <c r="A3" s="1171" t="s">
        <v>788</v>
      </c>
      <c r="B3" s="1171"/>
      <c r="C3" s="1171"/>
      <c r="D3" s="1171"/>
      <c r="E3" s="1171"/>
      <c r="F3" s="1171"/>
      <c r="G3" s="1171"/>
    </row>
    <row r="4" spans="1:7" ht="15" x14ac:dyDescent="0.3">
      <c r="A4" s="645"/>
      <c r="B4" s="645"/>
    </row>
    <row r="5" spans="1:7" ht="18" customHeight="1" x14ac:dyDescent="0.35">
      <c r="A5" s="1172" t="s">
        <v>723</v>
      </c>
      <c r="B5" s="1172"/>
      <c r="C5" s="1172"/>
      <c r="D5" s="1172"/>
      <c r="E5" s="1172"/>
      <c r="F5" s="1172"/>
      <c r="G5" s="1172"/>
    </row>
    <row r="6" spans="1:7" ht="15" x14ac:dyDescent="0.3">
      <c r="A6" s="646" t="s">
        <v>595</v>
      </c>
      <c r="B6" s="646"/>
    </row>
    <row r="7" spans="1:7" ht="15" x14ac:dyDescent="0.3">
      <c r="A7" s="646"/>
      <c r="B7" s="646"/>
      <c r="F7" s="647" t="s">
        <v>795</v>
      </c>
      <c r="G7" s="648"/>
    </row>
    <row r="8" spans="1:7" ht="42" customHeight="1" x14ac:dyDescent="0.2">
      <c r="A8" s="649" t="s">
        <v>2</v>
      </c>
      <c r="B8" s="649" t="s">
        <v>3</v>
      </c>
      <c r="C8" s="650" t="s">
        <v>724</v>
      </c>
      <c r="D8" s="650" t="s">
        <v>725</v>
      </c>
      <c r="E8" s="650" t="s">
        <v>726</v>
      </c>
      <c r="F8" s="650" t="s">
        <v>727</v>
      </c>
      <c r="G8" s="651" t="s">
        <v>728</v>
      </c>
    </row>
    <row r="9" spans="1:7" s="644" customFormat="1" ht="19.5" customHeight="1" x14ac:dyDescent="0.25">
      <c r="A9" s="652" t="s">
        <v>287</v>
      </c>
      <c r="B9" s="652" t="s">
        <v>288</v>
      </c>
      <c r="C9" s="652" t="s">
        <v>289</v>
      </c>
      <c r="D9" s="652" t="s">
        <v>290</v>
      </c>
      <c r="E9" s="652" t="s">
        <v>291</v>
      </c>
      <c r="F9" s="652" t="s">
        <v>292</v>
      </c>
      <c r="G9" s="652" t="s">
        <v>293</v>
      </c>
    </row>
    <row r="10" spans="1:7" ht="19.5" customHeight="1" x14ac:dyDescent="0.2">
      <c r="A10" s="635">
        <v>1</v>
      </c>
      <c r="B10" s="219" t="s">
        <v>386</v>
      </c>
      <c r="C10" s="671">
        <v>44881</v>
      </c>
      <c r="D10" s="919">
        <v>43806</v>
      </c>
      <c r="E10" s="919">
        <v>157</v>
      </c>
      <c r="F10" s="919">
        <f>C10-(D10+E10)</f>
        <v>918</v>
      </c>
      <c r="G10" s="653"/>
    </row>
    <row r="11" spans="1:7" ht="19.5" customHeight="1" x14ac:dyDescent="0.2">
      <c r="A11" s="635">
        <v>2</v>
      </c>
      <c r="B11" s="219" t="s">
        <v>387</v>
      </c>
      <c r="C11" s="671">
        <v>22081</v>
      </c>
      <c r="D11" s="919">
        <v>22081</v>
      </c>
      <c r="E11" s="919">
        <v>0</v>
      </c>
      <c r="F11" s="919">
        <f t="shared" ref="F11:F22" si="0">C11-(D11+E11)</f>
        <v>0</v>
      </c>
      <c r="G11" s="653"/>
    </row>
    <row r="12" spans="1:7" ht="19.5" customHeight="1" x14ac:dyDescent="0.2">
      <c r="A12" s="635">
        <v>3</v>
      </c>
      <c r="B12" s="219" t="s">
        <v>388</v>
      </c>
      <c r="C12" s="671">
        <v>35235</v>
      </c>
      <c r="D12" s="919">
        <v>33767</v>
      </c>
      <c r="E12" s="919">
        <v>0</v>
      </c>
      <c r="F12" s="919">
        <f t="shared" si="0"/>
        <v>1468</v>
      </c>
      <c r="G12" s="653"/>
    </row>
    <row r="13" spans="1:7" ht="19.5" customHeight="1" x14ac:dyDescent="0.2">
      <c r="A13" s="635">
        <v>4</v>
      </c>
      <c r="B13" s="219" t="s">
        <v>389</v>
      </c>
      <c r="C13" s="671">
        <v>22852</v>
      </c>
      <c r="D13" s="919">
        <v>22386</v>
      </c>
      <c r="E13" s="919">
        <v>167</v>
      </c>
      <c r="F13" s="919">
        <f t="shared" si="0"/>
        <v>299</v>
      </c>
      <c r="G13" s="653"/>
    </row>
    <row r="14" spans="1:7" ht="19.5" customHeight="1" x14ac:dyDescent="0.2">
      <c r="A14" s="635">
        <v>5</v>
      </c>
      <c r="B14" s="221" t="s">
        <v>390</v>
      </c>
      <c r="C14" s="671">
        <v>75139</v>
      </c>
      <c r="D14" s="919">
        <v>72344</v>
      </c>
      <c r="E14" s="919">
        <v>920</v>
      </c>
      <c r="F14" s="919">
        <f t="shared" si="0"/>
        <v>1875</v>
      </c>
      <c r="G14" s="653"/>
    </row>
    <row r="15" spans="1:7" ht="19.5" customHeight="1" x14ac:dyDescent="0.2">
      <c r="A15" s="635">
        <v>6</v>
      </c>
      <c r="B15" s="219" t="s">
        <v>391</v>
      </c>
      <c r="C15" s="671">
        <v>154836</v>
      </c>
      <c r="D15" s="919">
        <v>117780</v>
      </c>
      <c r="E15" s="919">
        <v>2452</v>
      </c>
      <c r="F15" s="919">
        <f t="shared" si="0"/>
        <v>34604</v>
      </c>
      <c r="G15" s="653"/>
    </row>
    <row r="16" spans="1:7" ht="19.5" customHeight="1" x14ac:dyDescent="0.2">
      <c r="A16" s="635">
        <v>7</v>
      </c>
      <c r="B16" s="221" t="s">
        <v>392</v>
      </c>
      <c r="C16" s="671">
        <v>62273</v>
      </c>
      <c r="D16" s="919">
        <v>57210</v>
      </c>
      <c r="E16" s="919">
        <v>204</v>
      </c>
      <c r="F16" s="919">
        <f t="shared" si="0"/>
        <v>4859</v>
      </c>
      <c r="G16" s="653"/>
    </row>
    <row r="17" spans="1:13" ht="19.5" customHeight="1" x14ac:dyDescent="0.2">
      <c r="A17" s="635">
        <v>8</v>
      </c>
      <c r="B17" s="219" t="s">
        <v>393</v>
      </c>
      <c r="C17" s="671">
        <v>44624</v>
      </c>
      <c r="D17" s="919">
        <v>42536</v>
      </c>
      <c r="E17" s="920">
        <v>1154</v>
      </c>
      <c r="F17" s="919">
        <f t="shared" si="0"/>
        <v>934</v>
      </c>
      <c r="G17" s="653"/>
    </row>
    <row r="18" spans="1:13" ht="19.5" customHeight="1" x14ac:dyDescent="0.2">
      <c r="A18" s="635">
        <v>9</v>
      </c>
      <c r="B18" s="219" t="s">
        <v>394</v>
      </c>
      <c r="C18" s="671">
        <v>33992</v>
      </c>
      <c r="D18" s="919">
        <v>31290</v>
      </c>
      <c r="E18" s="919">
        <v>235</v>
      </c>
      <c r="F18" s="919">
        <f t="shared" si="0"/>
        <v>2467</v>
      </c>
      <c r="G18" s="653"/>
    </row>
    <row r="19" spans="1:13" ht="19.5" customHeight="1" x14ac:dyDescent="0.2">
      <c r="A19" s="635">
        <v>10</v>
      </c>
      <c r="B19" s="219" t="s">
        <v>395</v>
      </c>
      <c r="C19" s="671">
        <v>23319</v>
      </c>
      <c r="D19" s="919">
        <v>22475</v>
      </c>
      <c r="E19" s="919">
        <v>33</v>
      </c>
      <c r="F19" s="919">
        <f t="shared" si="0"/>
        <v>811</v>
      </c>
      <c r="G19" s="653"/>
    </row>
    <row r="20" spans="1:13" ht="19.5" customHeight="1" x14ac:dyDescent="0.2">
      <c r="A20" s="635">
        <v>11</v>
      </c>
      <c r="B20" s="219" t="s">
        <v>396</v>
      </c>
      <c r="C20" s="671">
        <v>54610</v>
      </c>
      <c r="D20" s="919">
        <v>50904</v>
      </c>
      <c r="E20" s="919">
        <v>0</v>
      </c>
      <c r="F20" s="919">
        <f t="shared" si="0"/>
        <v>3706</v>
      </c>
      <c r="G20" s="653"/>
    </row>
    <row r="21" spans="1:13" ht="19.5" customHeight="1" x14ac:dyDescent="0.2">
      <c r="A21" s="635">
        <v>12</v>
      </c>
      <c r="B21" s="219" t="s">
        <v>397</v>
      </c>
      <c r="C21" s="671">
        <v>119831</v>
      </c>
      <c r="D21" s="919">
        <v>113432</v>
      </c>
      <c r="E21" s="919">
        <v>0</v>
      </c>
      <c r="F21" s="919">
        <f t="shared" si="0"/>
        <v>6399</v>
      </c>
      <c r="G21" s="653"/>
    </row>
    <row r="22" spans="1:13" ht="19.5" customHeight="1" x14ac:dyDescent="0.2">
      <c r="A22" s="635">
        <v>13</v>
      </c>
      <c r="B22" s="219" t="s">
        <v>398</v>
      </c>
      <c r="C22" s="671">
        <v>29473</v>
      </c>
      <c r="D22" s="919">
        <v>26437</v>
      </c>
      <c r="E22" s="919">
        <v>497</v>
      </c>
      <c r="F22" s="919">
        <f t="shared" si="0"/>
        <v>2539</v>
      </c>
      <c r="G22" s="653"/>
    </row>
    <row r="23" spans="1:13" ht="19.5" customHeight="1" x14ac:dyDescent="0.2">
      <c r="A23" s="635" t="s">
        <v>18</v>
      </c>
      <c r="B23" s="635"/>
      <c r="C23" s="672">
        <f>SUM(C10:C22)</f>
        <v>723146</v>
      </c>
      <c r="D23" s="672">
        <f>SUM(D10:D22)</f>
        <v>656448</v>
      </c>
      <c r="E23" s="672">
        <f>SUM(E10:E22)</f>
        <v>5819</v>
      </c>
      <c r="F23" s="672">
        <f t="shared" ref="F23:G23" si="1">SUM(F10:F22)</f>
        <v>60879</v>
      </c>
      <c r="G23" s="672">
        <f t="shared" si="1"/>
        <v>0</v>
      </c>
    </row>
    <row r="27" spans="1:13" ht="15" customHeight="1" x14ac:dyDescent="0.2">
      <c r="A27" s="654"/>
      <c r="B27" s="654"/>
      <c r="C27" s="654"/>
      <c r="D27" s="654"/>
      <c r="E27" s="1169" t="s">
        <v>12</v>
      </c>
      <c r="F27" s="1169"/>
      <c r="G27" s="655"/>
      <c r="H27" s="655"/>
      <c r="I27" s="655"/>
    </row>
    <row r="28" spans="1:13" ht="15" customHeight="1" x14ac:dyDescent="0.2">
      <c r="A28" s="654"/>
      <c r="B28" s="654"/>
      <c r="C28" s="654"/>
      <c r="D28" s="654"/>
      <c r="E28" s="1169" t="s">
        <v>13</v>
      </c>
      <c r="F28" s="1169"/>
      <c r="G28" s="655"/>
      <c r="H28" s="655"/>
      <c r="I28" s="655"/>
    </row>
    <row r="29" spans="1:13" ht="15" customHeight="1" x14ac:dyDescent="0.2">
      <c r="A29" s="654"/>
      <c r="B29" s="654"/>
      <c r="C29" s="654"/>
      <c r="D29" s="654"/>
      <c r="E29" s="1169" t="s">
        <v>87</v>
      </c>
      <c r="F29" s="1169"/>
      <c r="G29" s="655"/>
      <c r="H29" s="655"/>
      <c r="I29" s="655"/>
    </row>
    <row r="30" spans="1:13" x14ac:dyDescent="0.2">
      <c r="A30" s="654" t="s">
        <v>11</v>
      </c>
      <c r="C30" s="654"/>
      <c r="D30" s="654"/>
      <c r="E30" s="654"/>
      <c r="F30" s="656" t="s">
        <v>84</v>
      </c>
      <c r="G30" s="657"/>
      <c r="H30" s="654"/>
      <c r="I30" s="654"/>
    </row>
    <row r="31" spans="1:13" x14ac:dyDescent="0.2">
      <c r="A31" s="654"/>
      <c r="B31" s="654"/>
      <c r="C31" s="654"/>
      <c r="D31" s="654"/>
      <c r="E31" s="654"/>
      <c r="F31" s="654"/>
      <c r="G31" s="654"/>
      <c r="H31" s="654"/>
      <c r="I31" s="654"/>
      <c r="J31" s="654"/>
      <c r="K31" s="654"/>
      <c r="L31" s="654"/>
      <c r="M31" s="654"/>
    </row>
  </sheetData>
  <mergeCells count="6">
    <mergeCell ref="E27:F27"/>
    <mergeCell ref="E28:F28"/>
    <mergeCell ref="E29:F29"/>
    <mergeCell ref="A2:G2"/>
    <mergeCell ref="A3:G3"/>
    <mergeCell ref="A5:G5"/>
  </mergeCells>
  <pageMargins left="0.70866141732283472" right="0.70866141732283472" top="0.23622047244094491" bottom="0"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A1:W37"/>
  <sheetViews>
    <sheetView view="pageBreakPreview" topLeftCell="A12" zoomScaleSheetLayoutView="100" workbookViewId="0">
      <selection activeCell="D27" sqref="D27"/>
    </sheetView>
  </sheetViews>
  <sheetFormatPr defaultRowHeight="12.75" x14ac:dyDescent="0.2"/>
  <cols>
    <col min="1" max="1" width="7.42578125" style="12" customWidth="1"/>
    <col min="2" max="2" width="17.140625" style="12" customWidth="1"/>
    <col min="3" max="3" width="14" style="12" customWidth="1"/>
    <col min="4" max="4" width="10" style="12" customWidth="1"/>
    <col min="5" max="5" width="9.7109375" style="12" customWidth="1"/>
    <col min="6" max="6" width="15.28515625" style="12" customWidth="1"/>
    <col min="7" max="7" width="13.28515625" style="12" customWidth="1"/>
    <col min="8" max="8" width="14.7109375" style="12" customWidth="1"/>
    <col min="9" max="9" width="16.7109375" style="12" customWidth="1"/>
    <col min="10" max="10" width="19.28515625" style="12" customWidth="1"/>
    <col min="11" max="11" width="10.5703125" style="12" bestFit="1" customWidth="1"/>
    <col min="12" max="12" width="9.140625" style="12"/>
    <col min="13" max="13" width="12" style="12" bestFit="1" customWidth="1"/>
    <col min="14" max="16384" width="9.140625" style="12"/>
  </cols>
  <sheetData>
    <row r="1" spans="1:23" customFormat="1" x14ac:dyDescent="0.2">
      <c r="E1" s="1037"/>
      <c r="F1" s="1037"/>
      <c r="G1" s="1037"/>
      <c r="H1" s="1037"/>
      <c r="I1" s="1037"/>
      <c r="J1" s="85" t="s">
        <v>63</v>
      </c>
    </row>
    <row r="2" spans="1:23" customFormat="1" ht="15" x14ac:dyDescent="0.2">
      <c r="A2" s="1152" t="s">
        <v>0</v>
      </c>
      <c r="B2" s="1152"/>
      <c r="C2" s="1152"/>
      <c r="D2" s="1152"/>
      <c r="E2" s="1152"/>
      <c r="F2" s="1152"/>
      <c r="G2" s="1152"/>
      <c r="H2" s="1152"/>
      <c r="I2" s="1152"/>
      <c r="J2" s="1152"/>
    </row>
    <row r="3" spans="1:23" customFormat="1" ht="15.75" x14ac:dyDescent="0.25">
      <c r="A3" s="1131" t="s">
        <v>788</v>
      </c>
      <c r="B3" s="1131"/>
      <c r="C3" s="1131"/>
      <c r="D3" s="1131"/>
      <c r="E3" s="1131"/>
      <c r="F3" s="1131"/>
      <c r="G3" s="1131"/>
      <c r="H3" s="1131"/>
      <c r="I3" s="1131"/>
      <c r="J3" s="1131"/>
      <c r="Q3" s="9"/>
    </row>
    <row r="4" spans="1:23" ht="22.5" customHeight="1" x14ac:dyDescent="0.25">
      <c r="A4" s="1160" t="s">
        <v>799</v>
      </c>
      <c r="B4" s="1160"/>
      <c r="C4" s="1160"/>
      <c r="D4" s="1160"/>
      <c r="E4" s="1160"/>
      <c r="F4" s="1160"/>
      <c r="G4" s="1160"/>
      <c r="H4" s="1160"/>
      <c r="I4" s="1160"/>
      <c r="J4" s="1160"/>
      <c r="K4" s="69"/>
      <c r="L4" s="69"/>
      <c r="M4" s="69"/>
      <c r="N4" s="69"/>
      <c r="O4" s="69"/>
      <c r="P4" s="69"/>
      <c r="Q4" s="93"/>
    </row>
    <row r="5" spans="1:23" ht="13.5" customHeight="1" x14ac:dyDescent="0.2">
      <c r="A5" s="1"/>
      <c r="B5" s="1"/>
      <c r="C5" s="1"/>
      <c r="D5" s="1"/>
      <c r="E5" s="1"/>
      <c r="F5" s="1"/>
      <c r="G5" s="1"/>
      <c r="H5" s="1"/>
      <c r="I5" s="1"/>
      <c r="J5" s="1"/>
      <c r="Q5" s="16"/>
    </row>
    <row r="6" spans="1:23" ht="0.75" customHeight="1" x14ac:dyDescent="0.2">
      <c r="Q6" s="16"/>
    </row>
    <row r="7" spans="1:23" x14ac:dyDescent="0.2">
      <c r="A7" s="1174" t="s">
        <v>456</v>
      </c>
      <c r="B7" s="1174"/>
      <c r="C7" s="1174"/>
      <c r="H7" s="1163" t="s">
        <v>795</v>
      </c>
      <c r="I7" s="1163"/>
      <c r="J7" s="66"/>
      <c r="K7" s="72"/>
      <c r="L7" s="72"/>
      <c r="Q7" s="16"/>
    </row>
    <row r="8" spans="1:23" ht="21.75" customHeight="1" x14ac:dyDescent="0.2">
      <c r="A8" s="1145" t="s">
        <v>2</v>
      </c>
      <c r="B8" s="1145" t="s">
        <v>3</v>
      </c>
      <c r="C8" s="1168" t="s">
        <v>802</v>
      </c>
      <c r="D8" s="1134"/>
      <c r="E8" s="1134"/>
      <c r="F8" s="1159"/>
      <c r="G8" s="1168" t="s">
        <v>108</v>
      </c>
      <c r="H8" s="1134"/>
      <c r="I8" s="1134"/>
      <c r="J8" s="1159"/>
      <c r="Q8" s="16"/>
      <c r="R8" s="16"/>
    </row>
    <row r="9" spans="1:23" ht="77.25" customHeight="1" x14ac:dyDescent="0.2">
      <c r="A9" s="1145"/>
      <c r="B9" s="1145"/>
      <c r="C9" s="189" t="s">
        <v>198</v>
      </c>
      <c r="D9" s="189" t="s">
        <v>16</v>
      </c>
      <c r="E9" s="774" t="s">
        <v>803</v>
      </c>
      <c r="F9" s="194" t="s">
        <v>214</v>
      </c>
      <c r="G9" s="189" t="s">
        <v>198</v>
      </c>
      <c r="H9" s="239" t="s">
        <v>17</v>
      </c>
      <c r="I9" s="240" t="s">
        <v>116</v>
      </c>
      <c r="J9" s="636" t="s">
        <v>215</v>
      </c>
      <c r="K9" s="16"/>
      <c r="L9" s="16"/>
      <c r="M9" s="16"/>
      <c r="N9" s="16"/>
      <c r="O9" s="16"/>
      <c r="P9" s="16"/>
      <c r="Q9" s="16"/>
      <c r="R9" s="16"/>
      <c r="S9" s="16"/>
      <c r="T9" s="16"/>
      <c r="U9" s="16"/>
      <c r="V9" s="16"/>
      <c r="W9" s="16"/>
    </row>
    <row r="10" spans="1:23" x14ac:dyDescent="0.2">
      <c r="A10" s="189">
        <v>1</v>
      </c>
      <c r="B10" s="189">
        <v>2</v>
      </c>
      <c r="C10" s="189">
        <v>3</v>
      </c>
      <c r="D10" s="233">
        <v>4</v>
      </c>
      <c r="E10" s="189">
        <v>5</v>
      </c>
      <c r="F10" s="194">
        <v>6</v>
      </c>
      <c r="G10" s="189">
        <v>7</v>
      </c>
      <c r="H10" s="195">
        <v>8</v>
      </c>
      <c r="I10" s="189">
        <v>9</v>
      </c>
      <c r="J10" s="636">
        <v>10</v>
      </c>
      <c r="K10" s="16"/>
      <c r="L10" s="16"/>
      <c r="M10" s="16"/>
      <c r="N10" s="16"/>
      <c r="O10" s="16"/>
      <c r="P10" s="16"/>
      <c r="Q10" s="16"/>
      <c r="R10" s="16"/>
      <c r="S10" s="16"/>
      <c r="T10" s="16"/>
      <c r="U10" s="16"/>
      <c r="V10" s="16"/>
      <c r="W10" s="16"/>
    </row>
    <row r="11" spans="1:23" ht="24.95" customHeight="1" x14ac:dyDescent="0.2">
      <c r="A11" s="188">
        <v>1</v>
      </c>
      <c r="B11" s="219" t="s">
        <v>386</v>
      </c>
      <c r="C11" s="220">
        <v>1371</v>
      </c>
      <c r="D11" s="336">
        <v>23968</v>
      </c>
      <c r="E11" s="90">
        <v>235</v>
      </c>
      <c r="F11" s="234">
        <f>D11*E11</f>
        <v>5632480</v>
      </c>
      <c r="G11" s="68">
        <v>1312</v>
      </c>
      <c r="H11" s="90">
        <v>4983080</v>
      </c>
      <c r="I11" s="241">
        <v>229</v>
      </c>
      <c r="J11" s="640">
        <v>21760</v>
      </c>
      <c r="K11" s="16"/>
      <c r="L11" s="16"/>
      <c r="M11" s="16"/>
      <c r="N11" s="16"/>
      <c r="O11" s="16"/>
      <c r="P11" s="16"/>
      <c r="Q11" s="16"/>
      <c r="R11" s="16"/>
      <c r="S11" s="16"/>
      <c r="T11" s="16"/>
      <c r="U11" s="16"/>
      <c r="V11" s="16"/>
      <c r="W11" s="16"/>
    </row>
    <row r="12" spans="1:23" ht="24.95" customHeight="1" x14ac:dyDescent="0.2">
      <c r="A12" s="188">
        <v>2</v>
      </c>
      <c r="B12" s="219" t="s">
        <v>387</v>
      </c>
      <c r="C12" s="220">
        <v>594</v>
      </c>
      <c r="D12" s="336">
        <v>11905</v>
      </c>
      <c r="E12" s="776">
        <v>235</v>
      </c>
      <c r="F12" s="234">
        <f t="shared" ref="F12:F23" si="0">D12*E12</f>
        <v>2797675</v>
      </c>
      <c r="G12" s="68">
        <v>573</v>
      </c>
      <c r="H12" s="90">
        <v>2487304</v>
      </c>
      <c r="I12" s="241">
        <v>231</v>
      </c>
      <c r="J12" s="640">
        <v>10768</v>
      </c>
      <c r="K12" s="16"/>
      <c r="L12" s="16"/>
      <c r="M12" s="16"/>
      <c r="N12" s="16"/>
      <c r="O12" s="16"/>
      <c r="P12" s="16"/>
      <c r="Q12" s="16"/>
      <c r="R12" s="16"/>
      <c r="S12" s="16"/>
      <c r="T12" s="16"/>
      <c r="U12" s="16"/>
      <c r="V12" s="16"/>
      <c r="W12" s="16"/>
    </row>
    <row r="13" spans="1:23" ht="24.95" customHeight="1" x14ac:dyDescent="0.2">
      <c r="A13" s="188">
        <v>3</v>
      </c>
      <c r="B13" s="219" t="s">
        <v>388</v>
      </c>
      <c r="C13" s="220">
        <v>979</v>
      </c>
      <c r="D13" s="336">
        <v>19358</v>
      </c>
      <c r="E13" s="776">
        <v>235</v>
      </c>
      <c r="F13" s="234">
        <f t="shared" si="0"/>
        <v>4549130</v>
      </c>
      <c r="G13" s="68">
        <v>979</v>
      </c>
      <c r="H13" s="90">
        <v>4297915</v>
      </c>
      <c r="I13" s="241">
        <v>226</v>
      </c>
      <c r="J13" s="640">
        <v>19017</v>
      </c>
      <c r="K13" s="16"/>
      <c r="L13" s="16"/>
      <c r="M13" s="16"/>
      <c r="N13" s="16"/>
      <c r="O13" s="16"/>
      <c r="P13" s="16"/>
      <c r="Q13" s="16"/>
      <c r="R13" s="16"/>
      <c r="S13" s="16"/>
      <c r="T13" s="16"/>
      <c r="U13" s="16"/>
      <c r="V13" s="16"/>
      <c r="W13" s="16"/>
    </row>
    <row r="14" spans="1:23" ht="24.95" customHeight="1" x14ac:dyDescent="0.2">
      <c r="A14" s="188">
        <v>4</v>
      </c>
      <c r="B14" s="219" t="s">
        <v>389</v>
      </c>
      <c r="C14" s="220">
        <v>512</v>
      </c>
      <c r="D14" s="336">
        <v>11619</v>
      </c>
      <c r="E14" s="776">
        <v>235</v>
      </c>
      <c r="F14" s="234">
        <f t="shared" si="0"/>
        <v>2730465</v>
      </c>
      <c r="G14" s="68">
        <v>489</v>
      </c>
      <c r="H14" s="90">
        <v>2334152</v>
      </c>
      <c r="I14" s="241">
        <v>232</v>
      </c>
      <c r="J14" s="640">
        <v>10061</v>
      </c>
      <c r="K14" s="16"/>
      <c r="L14" s="16"/>
      <c r="M14" s="16"/>
      <c r="N14" s="16"/>
      <c r="O14" s="16"/>
      <c r="P14" s="16"/>
      <c r="Q14" s="16"/>
      <c r="R14" s="16"/>
      <c r="S14" s="16"/>
      <c r="T14" s="16"/>
      <c r="U14" s="16"/>
      <c r="V14" s="16"/>
      <c r="W14" s="16"/>
    </row>
    <row r="15" spans="1:23" ht="24.95" customHeight="1" x14ac:dyDescent="0.2">
      <c r="A15" s="188">
        <v>5</v>
      </c>
      <c r="B15" s="221" t="s">
        <v>390</v>
      </c>
      <c r="C15" s="220">
        <v>969</v>
      </c>
      <c r="D15" s="336">
        <v>37014</v>
      </c>
      <c r="E15" s="776">
        <v>235</v>
      </c>
      <c r="F15" s="234">
        <f t="shared" si="0"/>
        <v>8698290</v>
      </c>
      <c r="G15" s="68">
        <v>968</v>
      </c>
      <c r="H15" s="90">
        <v>7554752</v>
      </c>
      <c r="I15" s="241">
        <v>226</v>
      </c>
      <c r="J15" s="640">
        <v>33428</v>
      </c>
      <c r="K15" s="16"/>
      <c r="L15" s="16"/>
      <c r="M15" s="16"/>
      <c r="N15" s="16"/>
      <c r="O15" s="16"/>
      <c r="P15" s="16"/>
      <c r="Q15" s="16"/>
      <c r="R15" s="16"/>
      <c r="S15" s="16"/>
      <c r="T15" s="16"/>
      <c r="U15" s="16"/>
      <c r="V15" s="16"/>
      <c r="W15" s="16"/>
    </row>
    <row r="16" spans="1:23" ht="24.95" customHeight="1" x14ac:dyDescent="0.2">
      <c r="A16" s="188">
        <v>6</v>
      </c>
      <c r="B16" s="219" t="s">
        <v>391</v>
      </c>
      <c r="C16" s="220">
        <v>759</v>
      </c>
      <c r="D16" s="336">
        <v>69163</v>
      </c>
      <c r="E16" s="776">
        <v>235</v>
      </c>
      <c r="F16" s="234">
        <f t="shared" si="0"/>
        <v>16253305</v>
      </c>
      <c r="G16" s="68">
        <v>747</v>
      </c>
      <c r="H16" s="90">
        <v>14501854</v>
      </c>
      <c r="I16" s="241">
        <v>219</v>
      </c>
      <c r="J16" s="640">
        <v>66219</v>
      </c>
      <c r="K16" s="16"/>
      <c r="L16" s="16"/>
      <c r="M16" s="16"/>
      <c r="N16" s="16"/>
      <c r="O16" s="16"/>
      <c r="P16" s="16"/>
      <c r="Q16" s="16"/>
      <c r="R16" s="16"/>
      <c r="S16" s="16"/>
      <c r="T16" s="16"/>
      <c r="U16" s="16"/>
      <c r="V16" s="16"/>
      <c r="W16" s="16"/>
    </row>
    <row r="17" spans="1:23" ht="24.95" customHeight="1" x14ac:dyDescent="0.2">
      <c r="A17" s="188">
        <v>7</v>
      </c>
      <c r="B17" s="221" t="s">
        <v>392</v>
      </c>
      <c r="C17" s="220">
        <v>974</v>
      </c>
      <c r="D17" s="336">
        <v>32715</v>
      </c>
      <c r="E17" s="776">
        <v>235</v>
      </c>
      <c r="F17" s="234">
        <f t="shared" si="0"/>
        <v>7688025</v>
      </c>
      <c r="G17" s="68">
        <v>957</v>
      </c>
      <c r="H17" s="90">
        <v>6821060</v>
      </c>
      <c r="I17" s="241">
        <v>232</v>
      </c>
      <c r="J17" s="640">
        <v>29401</v>
      </c>
      <c r="K17" s="16"/>
      <c r="L17" s="16"/>
      <c r="M17" s="16"/>
      <c r="N17" s="16"/>
      <c r="O17" s="16"/>
      <c r="P17" s="16"/>
      <c r="Q17" s="16"/>
      <c r="R17" s="16"/>
      <c r="S17" s="16"/>
      <c r="T17" s="16"/>
      <c r="U17" s="16"/>
      <c r="V17" s="16"/>
      <c r="W17" s="16"/>
    </row>
    <row r="18" spans="1:23" ht="24.95" customHeight="1" x14ac:dyDescent="0.2">
      <c r="A18" s="188">
        <v>8</v>
      </c>
      <c r="B18" s="219" t="s">
        <v>393</v>
      </c>
      <c r="C18" s="220">
        <v>1555</v>
      </c>
      <c r="D18" s="336">
        <v>24207</v>
      </c>
      <c r="E18" s="776">
        <v>235</v>
      </c>
      <c r="F18" s="234">
        <f t="shared" si="0"/>
        <v>5688645</v>
      </c>
      <c r="G18" s="68">
        <v>1484</v>
      </c>
      <c r="H18" s="90">
        <v>4937339</v>
      </c>
      <c r="I18" s="241">
        <v>226</v>
      </c>
      <c r="J18" s="640">
        <v>21847</v>
      </c>
      <c r="K18" s="16"/>
      <c r="L18" s="16"/>
      <c r="M18" s="16"/>
      <c r="N18" s="16"/>
      <c r="O18" s="16"/>
      <c r="P18" s="16"/>
      <c r="Q18" s="16"/>
      <c r="R18" s="16"/>
      <c r="S18" s="16"/>
      <c r="T18" s="16"/>
      <c r="U18" s="16"/>
      <c r="V18" s="16"/>
      <c r="W18" s="16"/>
    </row>
    <row r="19" spans="1:23" ht="24.95" customHeight="1" x14ac:dyDescent="0.2">
      <c r="A19" s="188">
        <v>9</v>
      </c>
      <c r="B19" s="219" t="s">
        <v>394</v>
      </c>
      <c r="C19" s="220">
        <v>1112</v>
      </c>
      <c r="D19" s="336">
        <v>17278</v>
      </c>
      <c r="E19" s="776">
        <v>235</v>
      </c>
      <c r="F19" s="234">
        <f t="shared" si="0"/>
        <v>4060330</v>
      </c>
      <c r="G19" s="68">
        <v>1088</v>
      </c>
      <c r="H19" s="90">
        <v>3840278</v>
      </c>
      <c r="I19" s="241">
        <v>233</v>
      </c>
      <c r="J19" s="640">
        <v>16482</v>
      </c>
      <c r="K19" s="16"/>
      <c r="L19" s="16"/>
      <c r="M19" s="16"/>
      <c r="N19" s="16"/>
      <c r="O19" s="16"/>
      <c r="P19" s="16"/>
      <c r="Q19" s="16"/>
      <c r="R19" s="16"/>
      <c r="S19" s="16"/>
      <c r="T19" s="16"/>
      <c r="U19" s="16"/>
      <c r="V19" s="16"/>
      <c r="W19" s="16"/>
    </row>
    <row r="20" spans="1:23" ht="24.95" customHeight="1" x14ac:dyDescent="0.2">
      <c r="A20" s="188">
        <v>10</v>
      </c>
      <c r="B20" s="219" t="s">
        <v>395</v>
      </c>
      <c r="C20" s="220">
        <v>550</v>
      </c>
      <c r="D20" s="336">
        <v>12268</v>
      </c>
      <c r="E20" s="776">
        <v>235</v>
      </c>
      <c r="F20" s="234">
        <f t="shared" si="0"/>
        <v>2882980</v>
      </c>
      <c r="G20" s="68">
        <v>533</v>
      </c>
      <c r="H20" s="90">
        <v>2642926</v>
      </c>
      <c r="I20" s="241">
        <v>233</v>
      </c>
      <c r="J20" s="640">
        <v>11343</v>
      </c>
      <c r="K20" s="16"/>
      <c r="L20" s="16"/>
      <c r="M20" s="16"/>
      <c r="N20" s="16"/>
      <c r="O20" s="16"/>
      <c r="P20" s="16"/>
      <c r="Q20" s="16"/>
      <c r="R20" s="16"/>
      <c r="S20" s="16"/>
      <c r="T20" s="16"/>
      <c r="U20" s="16"/>
      <c r="V20" s="16"/>
      <c r="W20" s="16"/>
    </row>
    <row r="21" spans="1:23" ht="24.95" customHeight="1" x14ac:dyDescent="0.2">
      <c r="A21" s="188">
        <v>11</v>
      </c>
      <c r="B21" s="219" t="s">
        <v>396</v>
      </c>
      <c r="C21" s="220">
        <v>1394</v>
      </c>
      <c r="D21" s="336">
        <v>28370</v>
      </c>
      <c r="E21" s="776">
        <v>235</v>
      </c>
      <c r="F21" s="234">
        <f t="shared" si="0"/>
        <v>6666950</v>
      </c>
      <c r="G21" s="68">
        <v>1330</v>
      </c>
      <c r="H21" s="90">
        <v>5918173</v>
      </c>
      <c r="I21" s="241">
        <v>229</v>
      </c>
      <c r="J21" s="640">
        <v>25844</v>
      </c>
      <c r="K21" s="16"/>
      <c r="L21" s="16"/>
      <c r="M21" s="16"/>
      <c r="N21" s="16"/>
      <c r="O21" s="16"/>
      <c r="P21" s="16"/>
      <c r="Q21" s="16"/>
      <c r="R21" s="16"/>
      <c r="S21" s="16"/>
      <c r="T21" s="16"/>
      <c r="U21" s="16"/>
      <c r="V21" s="16"/>
      <c r="W21" s="16"/>
    </row>
    <row r="22" spans="1:23" ht="24.95" customHeight="1" x14ac:dyDescent="0.2">
      <c r="A22" s="188">
        <v>12</v>
      </c>
      <c r="B22" s="219" t="s">
        <v>397</v>
      </c>
      <c r="C22" s="220">
        <v>850</v>
      </c>
      <c r="D22" s="336">
        <v>60405</v>
      </c>
      <c r="E22" s="776">
        <v>235</v>
      </c>
      <c r="F22" s="234">
        <f t="shared" si="0"/>
        <v>14195175</v>
      </c>
      <c r="G22" s="68">
        <v>857</v>
      </c>
      <c r="H22" s="90">
        <v>12078108</v>
      </c>
      <c r="I22" s="241">
        <v>229</v>
      </c>
      <c r="J22" s="640">
        <v>52743</v>
      </c>
      <c r="K22" s="16"/>
      <c r="L22" s="16"/>
      <c r="M22" s="16"/>
      <c r="N22" s="16"/>
      <c r="O22" s="16"/>
      <c r="P22" s="16"/>
      <c r="Q22" s="16"/>
      <c r="R22" s="16"/>
      <c r="S22" s="16"/>
      <c r="T22" s="16"/>
      <c r="U22" s="16"/>
      <c r="V22" s="16"/>
      <c r="W22" s="16"/>
    </row>
    <row r="23" spans="1:23" ht="24.95" customHeight="1" x14ac:dyDescent="0.2">
      <c r="A23" s="188">
        <v>13</v>
      </c>
      <c r="B23" s="219" t="s">
        <v>398</v>
      </c>
      <c r="C23" s="220">
        <v>737</v>
      </c>
      <c r="D23" s="336">
        <v>17417</v>
      </c>
      <c r="E23" s="776">
        <v>235</v>
      </c>
      <c r="F23" s="234">
        <f t="shared" si="0"/>
        <v>4092995</v>
      </c>
      <c r="G23" s="68">
        <v>728</v>
      </c>
      <c r="H23" s="90">
        <v>3642609</v>
      </c>
      <c r="I23" s="241">
        <v>230</v>
      </c>
      <c r="J23" s="640">
        <v>15837</v>
      </c>
      <c r="K23" s="16"/>
      <c r="L23" s="16"/>
      <c r="M23" s="16"/>
      <c r="N23" s="16"/>
      <c r="O23" s="16"/>
      <c r="P23" s="16"/>
      <c r="Q23" s="16"/>
      <c r="R23" s="16"/>
      <c r="S23" s="16"/>
      <c r="T23" s="16"/>
      <c r="U23" s="16"/>
      <c r="V23" s="16"/>
      <c r="W23" s="16"/>
    </row>
    <row r="24" spans="1:23" s="11" customFormat="1" ht="20.100000000000001" customHeight="1" x14ac:dyDescent="0.2">
      <c r="A24" s="188" t="s">
        <v>18</v>
      </c>
      <c r="B24" s="188"/>
      <c r="C24" s="188">
        <f>SUM(C11:C23)</f>
        <v>12356</v>
      </c>
      <c r="D24" s="204">
        <f>SUM(D11:D23)</f>
        <v>365687</v>
      </c>
      <c r="E24" s="188">
        <f>AVERAGE(E11:E23)</f>
        <v>235</v>
      </c>
      <c r="F24" s="188">
        <f>SUM(F11:F23)</f>
        <v>85936445</v>
      </c>
      <c r="G24" s="188">
        <f>SUM(G11:G23)</f>
        <v>12045</v>
      </c>
      <c r="H24" s="188">
        <f>SUM(H11:H23)</f>
        <v>76039550</v>
      </c>
      <c r="I24" s="242">
        <f>H24/J24</f>
        <v>227.15324869305451</v>
      </c>
      <c r="J24" s="641">
        <f>SUM(J11:J23)</f>
        <v>334750</v>
      </c>
      <c r="K24" s="1004">
        <f>J24/D24</f>
        <v>0.91540032869639887</v>
      </c>
      <c r="L24" s="16"/>
      <c r="M24" s="16"/>
      <c r="N24" s="16"/>
      <c r="O24" s="16"/>
      <c r="P24" s="16"/>
      <c r="Q24" s="16"/>
      <c r="R24" s="20"/>
      <c r="S24" s="20"/>
      <c r="T24" s="20"/>
      <c r="U24" s="20"/>
      <c r="V24" s="20"/>
      <c r="W24" s="20"/>
    </row>
    <row r="25" spans="1:23" x14ac:dyDescent="0.2">
      <c r="A25" s="8"/>
      <c r="B25" s="20"/>
      <c r="C25" s="20"/>
      <c r="D25" s="982">
        <f>'T5A_PLAN_vs_PRFM (2)'!D25</f>
        <v>259866</v>
      </c>
      <c r="E25" s="16"/>
      <c r="F25" s="16"/>
      <c r="G25" s="16"/>
      <c r="H25" s="16"/>
      <c r="I25" s="16"/>
      <c r="J25" s="982">
        <f>'T5A_PLAN_vs_PRFM (2)'!J25</f>
        <v>233156</v>
      </c>
      <c r="K25" s="16"/>
      <c r="L25" s="16"/>
      <c r="M25" s="16"/>
      <c r="N25" s="16"/>
      <c r="O25" s="16"/>
      <c r="P25" s="16"/>
      <c r="Q25" s="16"/>
      <c r="R25" s="16"/>
      <c r="S25" s="16"/>
      <c r="T25" s="16"/>
      <c r="U25" s="16"/>
      <c r="V25" s="16"/>
      <c r="W25" s="16"/>
    </row>
    <row r="26" spans="1:23" x14ac:dyDescent="0.2">
      <c r="A26" s="8"/>
      <c r="B26" s="20"/>
      <c r="C26" s="20"/>
      <c r="D26" s="982">
        <f>D24+D25</f>
        <v>625553</v>
      </c>
      <c r="E26" s="16"/>
      <c r="F26" s="16"/>
      <c r="G26" s="16"/>
      <c r="H26" s="16"/>
      <c r="I26" s="16"/>
      <c r="J26" s="982">
        <f>J24+J25</f>
        <v>567906</v>
      </c>
      <c r="K26" s="16"/>
      <c r="L26" s="16"/>
      <c r="M26" s="16"/>
      <c r="N26" s="16"/>
    </row>
    <row r="27" spans="1:23" x14ac:dyDescent="0.2">
      <c r="A27" s="8"/>
      <c r="B27" s="20"/>
      <c r="C27" s="20"/>
      <c r="D27" s="16"/>
      <c r="E27" s="16"/>
      <c r="F27" s="16"/>
      <c r="G27" s="16"/>
      <c r="H27" s="16"/>
      <c r="I27" s="16"/>
      <c r="J27" s="980">
        <f>J26/D26</f>
        <v>0.90784633756052646</v>
      </c>
      <c r="K27" s="16"/>
      <c r="L27" s="16"/>
      <c r="M27" s="16"/>
      <c r="N27" s="16"/>
    </row>
    <row r="28" spans="1:23" ht="15.75" customHeight="1" x14ac:dyDescent="0.2">
      <c r="A28" s="11" t="s">
        <v>11</v>
      </c>
      <c r="B28" s="11"/>
      <c r="C28" s="11"/>
      <c r="D28" s="11"/>
      <c r="E28" s="11"/>
      <c r="F28" s="11"/>
      <c r="G28" s="11"/>
      <c r="I28" s="1073" t="s">
        <v>12</v>
      </c>
      <c r="J28" s="1073"/>
      <c r="K28" s="16"/>
      <c r="L28" s="16"/>
      <c r="M28" s="16"/>
      <c r="N28" s="16"/>
    </row>
    <row r="29" spans="1:23" ht="12.75" customHeight="1" x14ac:dyDescent="0.2">
      <c r="A29" s="1161" t="s">
        <v>13</v>
      </c>
      <c r="B29" s="1161"/>
      <c r="C29" s="1161"/>
      <c r="D29" s="1161"/>
      <c r="E29" s="1161"/>
      <c r="F29" s="1161"/>
      <c r="G29" s="1161"/>
      <c r="H29" s="1161"/>
      <c r="I29" s="1161"/>
      <c r="J29" s="1161"/>
      <c r="L29" s="586"/>
      <c r="M29" s="723"/>
      <c r="N29" s="16"/>
    </row>
    <row r="30" spans="1:23" ht="12.75" customHeight="1" x14ac:dyDescent="0.2">
      <c r="A30" s="1161" t="s">
        <v>19</v>
      </c>
      <c r="B30" s="1161"/>
      <c r="C30" s="1161"/>
      <c r="D30" s="1161"/>
      <c r="E30" s="1161"/>
      <c r="F30" s="1161"/>
      <c r="G30" s="1161"/>
      <c r="H30" s="1161"/>
      <c r="I30" s="1161"/>
      <c r="J30" s="1161"/>
      <c r="L30" s="586"/>
      <c r="M30" s="16"/>
      <c r="N30" s="16"/>
    </row>
    <row r="31" spans="1:23" x14ac:dyDescent="0.2">
      <c r="A31" s="11"/>
      <c r="B31" s="11"/>
      <c r="C31" s="11"/>
      <c r="E31" s="11"/>
      <c r="H31" s="1075" t="s">
        <v>84</v>
      </c>
      <c r="I31" s="1075"/>
      <c r="J31" s="1075"/>
    </row>
    <row r="35" spans="1:10" x14ac:dyDescent="0.2">
      <c r="A35" s="1173"/>
      <c r="B35" s="1173"/>
      <c r="C35" s="1173"/>
      <c r="D35" s="1173"/>
      <c r="E35" s="1173"/>
      <c r="F35" s="1173"/>
      <c r="G35" s="1173"/>
      <c r="H35" s="1173"/>
      <c r="I35" s="1173"/>
      <c r="J35" s="1173"/>
    </row>
    <row r="37" spans="1:10" x14ac:dyDescent="0.2">
      <c r="A37" s="1173"/>
      <c r="B37" s="1173"/>
      <c r="C37" s="1173"/>
      <c r="D37" s="1173"/>
      <c r="E37" s="1173"/>
      <c r="F37" s="1173"/>
      <c r="G37" s="1173"/>
      <c r="H37" s="1173"/>
      <c r="I37" s="1173"/>
      <c r="J37" s="1173"/>
    </row>
  </sheetData>
  <mergeCells count="16">
    <mergeCell ref="E1:I1"/>
    <mergeCell ref="A2:J2"/>
    <mergeCell ref="A3:J3"/>
    <mergeCell ref="G8:J8"/>
    <mergeCell ref="C8:F8"/>
    <mergeCell ref="A4:J4"/>
    <mergeCell ref="A8:A9"/>
    <mergeCell ref="B8:B9"/>
    <mergeCell ref="H7:I7"/>
    <mergeCell ref="A7:C7"/>
    <mergeCell ref="I28:J28"/>
    <mergeCell ref="H31:J31"/>
    <mergeCell ref="A37:J37"/>
    <mergeCell ref="A35:J35"/>
    <mergeCell ref="A29:J29"/>
    <mergeCell ref="A30:J30"/>
  </mergeCells>
  <phoneticPr fontId="0" type="noConversion"/>
  <printOptions horizontalCentered="1"/>
  <pageMargins left="0.70866141732283472" right="0.70866141732283472" top="0.23622047244094491" bottom="0" header="0.31496062992125984" footer="0.31496062992125984"/>
  <pageSetup paperSize="9" scale="9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39997558519241921"/>
    <pageSetUpPr fitToPage="1"/>
  </sheetPr>
  <dimension ref="A1:W36"/>
  <sheetViews>
    <sheetView view="pageBreakPreview" topLeftCell="A11" zoomScaleSheetLayoutView="100" workbookViewId="0">
      <selection activeCell="K22" sqref="K22"/>
    </sheetView>
  </sheetViews>
  <sheetFormatPr defaultRowHeight="12.75" x14ac:dyDescent="0.2"/>
  <cols>
    <col min="1" max="1" width="7.42578125" style="12" customWidth="1"/>
    <col min="2" max="2" width="13.5703125" style="12" customWidth="1"/>
    <col min="3" max="3" width="13" style="12" customWidth="1"/>
    <col min="4" max="4" width="12.42578125" style="12" customWidth="1"/>
    <col min="5" max="5" width="13.42578125" style="12" customWidth="1"/>
    <col min="6" max="6" width="16.140625" style="12" customWidth="1"/>
    <col min="7" max="7" width="11.5703125" style="12" customWidth="1"/>
    <col min="8" max="8" width="13.85546875" style="12" customWidth="1"/>
    <col min="9" max="9" width="15.140625" style="12" customWidth="1"/>
    <col min="10" max="10" width="25" style="12" customWidth="1"/>
    <col min="11" max="12" width="15.42578125" style="714" customWidth="1"/>
    <col min="13" max="13" width="9" style="12" customWidth="1"/>
    <col min="14" max="14" width="10.5703125" style="12" bestFit="1" customWidth="1"/>
    <col min="15" max="16384" width="9.140625" style="12"/>
  </cols>
  <sheetData>
    <row r="1" spans="1:23" customFormat="1" x14ac:dyDescent="0.2">
      <c r="E1" s="1037"/>
      <c r="F1" s="1037"/>
      <c r="G1" s="1037"/>
      <c r="H1" s="1037"/>
      <c r="I1" s="1037"/>
      <c r="J1" s="1176" t="s">
        <v>91</v>
      </c>
      <c r="K1" s="1176"/>
      <c r="L1" s="1176"/>
      <c r="M1" s="1176"/>
      <c r="N1" s="1176"/>
    </row>
    <row r="2" spans="1:23" customFormat="1" ht="15" x14ac:dyDescent="0.2">
      <c r="A2" s="1152" t="s">
        <v>0</v>
      </c>
      <c r="B2" s="1152"/>
      <c r="C2" s="1152"/>
      <c r="D2" s="1152"/>
      <c r="E2" s="1152"/>
      <c r="F2" s="1152"/>
      <c r="G2" s="1152"/>
      <c r="H2" s="1152"/>
      <c r="I2" s="1152"/>
      <c r="J2" s="1152"/>
      <c r="K2" s="712"/>
      <c r="L2" s="712"/>
    </row>
    <row r="3" spans="1:23" customFormat="1" ht="15.75" x14ac:dyDescent="0.25">
      <c r="A3" s="1131" t="s">
        <v>788</v>
      </c>
      <c r="B3" s="1131"/>
      <c r="C3" s="1131"/>
      <c r="D3" s="1131"/>
      <c r="E3" s="1131"/>
      <c r="F3" s="1131"/>
      <c r="G3" s="1131"/>
      <c r="H3" s="1131"/>
      <c r="I3" s="1131"/>
      <c r="J3" s="1131"/>
      <c r="K3" s="709"/>
      <c r="L3" s="709"/>
      <c r="M3" s="69"/>
      <c r="N3" s="69"/>
      <c r="O3" s="69"/>
      <c r="P3" s="69"/>
      <c r="Q3" s="69"/>
      <c r="R3" s="69"/>
      <c r="S3" s="69"/>
    </row>
    <row r="4" spans="1:23" customFormat="1" ht="10.5" customHeight="1" x14ac:dyDescent="0.2">
      <c r="K4" s="715"/>
      <c r="L4" s="715"/>
    </row>
    <row r="5" spans="1:23" ht="18.75" customHeight="1" x14ac:dyDescent="0.25">
      <c r="A5" s="1160" t="s">
        <v>800</v>
      </c>
      <c r="B5" s="1160"/>
      <c r="C5" s="1160"/>
      <c r="D5" s="1160"/>
      <c r="E5" s="1160"/>
      <c r="F5" s="1160"/>
      <c r="G5" s="1160"/>
      <c r="H5" s="1160"/>
      <c r="I5" s="1160"/>
      <c r="J5" s="1160"/>
      <c r="K5" s="713"/>
      <c r="L5" s="713"/>
    </row>
    <row r="6" spans="1:23" ht="13.5" customHeight="1" x14ac:dyDescent="0.2">
      <c r="A6" s="1"/>
      <c r="B6" s="1"/>
      <c r="C6" s="1"/>
      <c r="D6" s="1"/>
      <c r="E6" s="1"/>
      <c r="F6" s="1"/>
      <c r="G6" s="1"/>
      <c r="H6" s="1"/>
      <c r="I6" s="1"/>
      <c r="J6" s="1"/>
      <c r="K6" s="708"/>
      <c r="L6" s="708"/>
    </row>
    <row r="7" spans="1:23" ht="0.75" customHeight="1" x14ac:dyDescent="0.2"/>
    <row r="8" spans="1:23" x14ac:dyDescent="0.2">
      <c r="A8" s="1147" t="s">
        <v>456</v>
      </c>
      <c r="B8" s="1147"/>
      <c r="C8" s="1147"/>
      <c r="D8" s="451"/>
      <c r="E8" s="451"/>
      <c r="F8" s="451"/>
      <c r="G8" s="451"/>
      <c r="H8" s="451"/>
      <c r="I8" s="1133" t="s">
        <v>801</v>
      </c>
      <c r="J8" s="1133"/>
      <c r="K8" s="724"/>
      <c r="L8" s="724"/>
    </row>
    <row r="9" spans="1:23" ht="13.5" customHeight="1" x14ac:dyDescent="0.2">
      <c r="A9" s="1175" t="s">
        <v>2</v>
      </c>
      <c r="B9" s="1175" t="s">
        <v>3</v>
      </c>
      <c r="C9" s="1177" t="s">
        <v>802</v>
      </c>
      <c r="D9" s="1178"/>
      <c r="E9" s="1178"/>
      <c r="F9" s="1179"/>
      <c r="G9" s="1177" t="s">
        <v>108</v>
      </c>
      <c r="H9" s="1178"/>
      <c r="I9" s="1178"/>
      <c r="J9" s="1179"/>
      <c r="K9" s="710"/>
      <c r="L9" s="710"/>
      <c r="V9" s="14"/>
      <c r="W9" s="16"/>
    </row>
    <row r="10" spans="1:23" ht="63.75" x14ac:dyDescent="0.2">
      <c r="A10" s="1175"/>
      <c r="B10" s="1175"/>
      <c r="C10" s="4" t="s">
        <v>125</v>
      </c>
      <c r="D10" s="4" t="s">
        <v>16</v>
      </c>
      <c r="E10" s="774" t="s">
        <v>803</v>
      </c>
      <c r="F10" s="5" t="s">
        <v>214</v>
      </c>
      <c r="G10" s="4" t="s">
        <v>125</v>
      </c>
      <c r="H10" s="18" t="s">
        <v>17</v>
      </c>
      <c r="I10" s="67" t="s">
        <v>116</v>
      </c>
      <c r="J10" s="5" t="s">
        <v>215</v>
      </c>
      <c r="K10" s="75"/>
      <c r="M10" s="16"/>
      <c r="N10" s="16"/>
      <c r="O10" s="16"/>
      <c r="P10" s="16"/>
      <c r="Q10" s="16"/>
      <c r="R10" s="16"/>
      <c r="S10" s="16"/>
    </row>
    <row r="11" spans="1:23" s="11" customFormat="1" x14ac:dyDescent="0.2">
      <c r="A11" s="4">
        <v>1</v>
      </c>
      <c r="B11" s="4">
        <v>2</v>
      </c>
      <c r="C11" s="4">
        <v>3</v>
      </c>
      <c r="D11" s="4">
        <v>4</v>
      </c>
      <c r="E11" s="4">
        <v>5</v>
      </c>
      <c r="F11" s="4">
        <v>6</v>
      </c>
      <c r="G11" s="4">
        <v>7</v>
      </c>
      <c r="H11" s="4">
        <v>8</v>
      </c>
      <c r="I11" s="4">
        <v>9</v>
      </c>
      <c r="J11" s="5">
        <v>10</v>
      </c>
      <c r="K11" s="75"/>
      <c r="L11" s="778"/>
      <c r="M11" s="16"/>
      <c r="N11" s="16"/>
      <c r="O11" s="16"/>
      <c r="P11" s="16"/>
      <c r="Q11" s="16"/>
      <c r="R11" s="16"/>
      <c r="S11" s="16"/>
      <c r="T11" s="664"/>
    </row>
    <row r="12" spans="1:23" ht="24.95" customHeight="1" x14ac:dyDescent="0.25">
      <c r="A12" s="2">
        <v>1</v>
      </c>
      <c r="B12" s="137" t="s">
        <v>386</v>
      </c>
      <c r="C12" s="212">
        <v>493</v>
      </c>
      <c r="D12" s="337">
        <v>21014</v>
      </c>
      <c r="E12" s="90">
        <v>235</v>
      </c>
      <c r="F12" s="234">
        <f>D12*E12</f>
        <v>4938290</v>
      </c>
      <c r="G12" s="90">
        <v>485</v>
      </c>
      <c r="H12" s="90">
        <v>4066276</v>
      </c>
      <c r="I12" s="782">
        <v>226</v>
      </c>
      <c r="J12" s="550">
        <v>17992</v>
      </c>
      <c r="K12" s="75"/>
      <c r="L12" s="778"/>
      <c r="M12" s="16"/>
      <c r="N12" s="16"/>
      <c r="O12" s="16"/>
      <c r="P12" s="16"/>
      <c r="Q12" s="16"/>
      <c r="R12" s="16"/>
      <c r="S12" s="16"/>
      <c r="T12" s="664"/>
    </row>
    <row r="13" spans="1:23" ht="24.95" customHeight="1" x14ac:dyDescent="0.25">
      <c r="A13" s="2">
        <v>2</v>
      </c>
      <c r="B13" s="137" t="s">
        <v>387</v>
      </c>
      <c r="C13" s="212">
        <v>225</v>
      </c>
      <c r="D13" s="337">
        <v>9831</v>
      </c>
      <c r="E13" s="776">
        <v>235</v>
      </c>
      <c r="F13" s="234">
        <f t="shared" ref="F13:F24" si="0">D13*E13</f>
        <v>2310285</v>
      </c>
      <c r="G13" s="90">
        <v>223</v>
      </c>
      <c r="H13" s="90">
        <v>1882804</v>
      </c>
      <c r="I13" s="782">
        <v>229</v>
      </c>
      <c r="J13" s="550">
        <v>8222</v>
      </c>
      <c r="K13" s="75"/>
      <c r="L13" s="778"/>
      <c r="M13" s="16"/>
      <c r="N13" s="16"/>
      <c r="O13" s="16"/>
      <c r="P13" s="16"/>
      <c r="Q13" s="16"/>
      <c r="R13" s="16"/>
      <c r="S13" s="16"/>
      <c r="T13" s="664"/>
    </row>
    <row r="14" spans="1:23" ht="24.95" customHeight="1" x14ac:dyDescent="0.25">
      <c r="A14" s="2">
        <v>3</v>
      </c>
      <c r="B14" s="137" t="s">
        <v>388</v>
      </c>
      <c r="C14" s="212">
        <v>427</v>
      </c>
      <c r="D14" s="337">
        <v>14460</v>
      </c>
      <c r="E14" s="776">
        <v>235</v>
      </c>
      <c r="F14" s="234">
        <f t="shared" si="0"/>
        <v>3398100</v>
      </c>
      <c r="G14" s="90">
        <v>427</v>
      </c>
      <c r="H14" s="90">
        <v>2994700</v>
      </c>
      <c r="I14" s="782">
        <v>221</v>
      </c>
      <c r="J14" s="550">
        <v>13551</v>
      </c>
      <c r="K14" s="75"/>
      <c r="L14" s="778"/>
      <c r="M14" s="16"/>
      <c r="N14" s="16"/>
      <c r="O14" s="16"/>
      <c r="Q14" s="16"/>
      <c r="R14" s="16"/>
      <c r="S14" s="16"/>
      <c r="T14" s="664"/>
    </row>
    <row r="15" spans="1:23" ht="24.95" customHeight="1" x14ac:dyDescent="0.25">
      <c r="A15" s="2">
        <v>4</v>
      </c>
      <c r="B15" s="137" t="s">
        <v>389</v>
      </c>
      <c r="C15" s="212">
        <v>202</v>
      </c>
      <c r="D15" s="337">
        <v>9227</v>
      </c>
      <c r="E15" s="776">
        <v>235</v>
      </c>
      <c r="F15" s="234">
        <f t="shared" si="0"/>
        <v>2168345</v>
      </c>
      <c r="G15" s="90">
        <v>199</v>
      </c>
      <c r="H15" s="90">
        <v>1776801</v>
      </c>
      <c r="I15" s="782">
        <v>229</v>
      </c>
      <c r="J15" s="550">
        <v>7759</v>
      </c>
      <c r="K15" s="75"/>
      <c r="L15" s="778"/>
      <c r="M15" s="16"/>
      <c r="N15" s="16"/>
      <c r="O15" s="16"/>
      <c r="P15" s="16"/>
      <c r="Q15" s="16"/>
      <c r="R15" s="16"/>
      <c r="S15" s="16"/>
      <c r="T15" s="664"/>
    </row>
    <row r="16" spans="1:23" ht="24.95" customHeight="1" x14ac:dyDescent="0.25">
      <c r="A16" s="2">
        <v>5</v>
      </c>
      <c r="B16" s="138" t="s">
        <v>390</v>
      </c>
      <c r="C16" s="212">
        <v>473</v>
      </c>
      <c r="D16" s="337">
        <v>25982</v>
      </c>
      <c r="E16" s="776">
        <v>235</v>
      </c>
      <c r="F16" s="234">
        <f t="shared" si="0"/>
        <v>6105770</v>
      </c>
      <c r="G16" s="90">
        <v>475</v>
      </c>
      <c r="H16" s="90">
        <v>5260766</v>
      </c>
      <c r="I16" s="782">
        <v>222</v>
      </c>
      <c r="J16" s="550">
        <v>23697</v>
      </c>
      <c r="K16" s="75"/>
      <c r="L16" s="778"/>
      <c r="M16" s="16"/>
      <c r="N16" s="16"/>
      <c r="O16" s="16"/>
      <c r="P16" s="16"/>
      <c r="Q16" s="16"/>
      <c r="R16" s="16"/>
      <c r="S16" s="16"/>
      <c r="T16" s="664"/>
    </row>
    <row r="17" spans="1:20" ht="24.95" customHeight="1" x14ac:dyDescent="0.25">
      <c r="A17" s="2">
        <v>6</v>
      </c>
      <c r="B17" s="137" t="s">
        <v>391</v>
      </c>
      <c r="C17" s="212">
        <v>327</v>
      </c>
      <c r="D17" s="337">
        <v>33807</v>
      </c>
      <c r="E17" s="776">
        <v>235</v>
      </c>
      <c r="F17" s="234">
        <f t="shared" si="0"/>
        <v>7944645</v>
      </c>
      <c r="G17" s="90">
        <v>335</v>
      </c>
      <c r="H17" s="90">
        <v>6882131</v>
      </c>
      <c r="I17" s="782">
        <v>217</v>
      </c>
      <c r="J17" s="550">
        <v>31715</v>
      </c>
      <c r="K17" s="75"/>
      <c r="L17" s="778"/>
      <c r="M17" s="16"/>
      <c r="N17" s="16"/>
      <c r="O17" s="16"/>
      <c r="P17" s="16"/>
      <c r="Q17" s="16"/>
      <c r="R17" s="16"/>
      <c r="S17" s="16"/>
      <c r="T17" s="664"/>
    </row>
    <row r="18" spans="1:20" ht="24.95" customHeight="1" x14ac:dyDescent="0.25">
      <c r="A18" s="2">
        <v>7</v>
      </c>
      <c r="B18" s="138" t="s">
        <v>392</v>
      </c>
      <c r="C18" s="212">
        <v>453</v>
      </c>
      <c r="D18" s="337">
        <v>26243</v>
      </c>
      <c r="E18" s="776">
        <v>235</v>
      </c>
      <c r="F18" s="234">
        <f t="shared" si="0"/>
        <v>6167105</v>
      </c>
      <c r="G18" s="90">
        <v>449</v>
      </c>
      <c r="H18" s="340">
        <v>5505203</v>
      </c>
      <c r="I18" s="782">
        <v>232</v>
      </c>
      <c r="J18" s="550">
        <v>23729</v>
      </c>
      <c r="K18" s="75"/>
      <c r="L18" s="778"/>
      <c r="M18" s="16"/>
      <c r="N18" s="16"/>
      <c r="O18" s="16"/>
      <c r="P18" s="16"/>
      <c r="Q18" s="16"/>
      <c r="R18" s="16"/>
      <c r="S18" s="16"/>
      <c r="T18" s="664"/>
    </row>
    <row r="19" spans="1:20" ht="24.95" customHeight="1" x14ac:dyDescent="0.25">
      <c r="A19" s="2">
        <v>8</v>
      </c>
      <c r="B19" s="137" t="s">
        <v>393</v>
      </c>
      <c r="C19" s="212">
        <v>669</v>
      </c>
      <c r="D19" s="337">
        <v>20995</v>
      </c>
      <c r="E19" s="776">
        <v>235</v>
      </c>
      <c r="F19" s="234">
        <f t="shared" si="0"/>
        <v>4933825</v>
      </c>
      <c r="G19" s="90">
        <v>662</v>
      </c>
      <c r="H19" s="90">
        <v>4061658</v>
      </c>
      <c r="I19" s="782">
        <v>224</v>
      </c>
      <c r="J19" s="550">
        <v>18132</v>
      </c>
      <c r="K19" s="75"/>
      <c r="L19" s="778"/>
      <c r="M19" s="16"/>
      <c r="N19" s="16"/>
      <c r="O19" s="16"/>
      <c r="P19" s="16"/>
      <c r="Q19" s="16"/>
      <c r="R19" s="16"/>
      <c r="S19" s="16"/>
      <c r="T19" s="664"/>
    </row>
    <row r="20" spans="1:20" ht="24.95" customHeight="1" x14ac:dyDescent="0.25">
      <c r="A20" s="2">
        <v>9</v>
      </c>
      <c r="B20" s="137" t="s">
        <v>394</v>
      </c>
      <c r="C20" s="212">
        <v>447</v>
      </c>
      <c r="D20" s="337">
        <v>14686</v>
      </c>
      <c r="E20" s="776">
        <v>235</v>
      </c>
      <c r="F20" s="234">
        <f t="shared" si="0"/>
        <v>3451210</v>
      </c>
      <c r="G20" s="90">
        <v>444</v>
      </c>
      <c r="H20" s="90">
        <v>2985064</v>
      </c>
      <c r="I20" s="782">
        <v>226</v>
      </c>
      <c r="J20" s="550">
        <v>13208</v>
      </c>
      <c r="K20" s="75"/>
      <c r="L20" s="778"/>
      <c r="M20" s="16"/>
      <c r="N20" s="16"/>
      <c r="O20" s="16"/>
      <c r="P20" s="16"/>
      <c r="Q20" s="16"/>
      <c r="R20" s="16"/>
      <c r="S20" s="16"/>
      <c r="T20" s="664"/>
    </row>
    <row r="21" spans="1:20" ht="24.95" customHeight="1" x14ac:dyDescent="0.25">
      <c r="A21" s="2">
        <v>10</v>
      </c>
      <c r="B21" s="137" t="s">
        <v>395</v>
      </c>
      <c r="C21" s="212">
        <v>264</v>
      </c>
      <c r="D21" s="337">
        <v>10841</v>
      </c>
      <c r="E21" s="776">
        <v>235</v>
      </c>
      <c r="F21" s="234">
        <f t="shared" si="0"/>
        <v>2547635</v>
      </c>
      <c r="G21" s="90">
        <v>264</v>
      </c>
      <c r="H21" s="90">
        <v>2269433</v>
      </c>
      <c r="I21" s="782">
        <v>233</v>
      </c>
      <c r="J21" s="550">
        <v>9740</v>
      </c>
      <c r="K21" s="75"/>
      <c r="L21" s="778"/>
      <c r="M21" s="16"/>
      <c r="N21" s="16"/>
      <c r="O21" s="16"/>
      <c r="P21" s="16"/>
      <c r="Q21" s="16"/>
      <c r="R21" s="16"/>
      <c r="S21" s="16"/>
      <c r="T21" s="664"/>
    </row>
    <row r="22" spans="1:20" ht="24.95" customHeight="1" x14ac:dyDescent="0.25">
      <c r="A22" s="2">
        <v>11</v>
      </c>
      <c r="B22" s="137" t="s">
        <v>396</v>
      </c>
      <c r="C22" s="212">
        <v>594</v>
      </c>
      <c r="D22" s="337">
        <v>24337</v>
      </c>
      <c r="E22" s="776">
        <v>235</v>
      </c>
      <c r="F22" s="234">
        <f t="shared" si="0"/>
        <v>5719195</v>
      </c>
      <c r="G22" s="90">
        <v>591</v>
      </c>
      <c r="H22" s="90">
        <v>4769959</v>
      </c>
      <c r="I22" s="782">
        <v>222</v>
      </c>
      <c r="J22" s="550">
        <v>21486</v>
      </c>
      <c r="K22" s="75"/>
      <c r="L22" s="778"/>
      <c r="M22" s="16"/>
      <c r="N22" s="16"/>
      <c r="O22" s="16"/>
      <c r="P22" s="16"/>
      <c r="Q22" s="16"/>
      <c r="R22" s="16"/>
      <c r="S22" s="16"/>
      <c r="T22" s="664"/>
    </row>
    <row r="23" spans="1:20" ht="24.95" customHeight="1" x14ac:dyDescent="0.25">
      <c r="A23" s="2">
        <v>12</v>
      </c>
      <c r="B23" s="137" t="s">
        <v>397</v>
      </c>
      <c r="C23" s="212">
        <v>405</v>
      </c>
      <c r="D23" s="337">
        <v>36935</v>
      </c>
      <c r="E23" s="776">
        <v>235</v>
      </c>
      <c r="F23" s="234">
        <f t="shared" si="0"/>
        <v>8679725</v>
      </c>
      <c r="G23" s="90">
        <v>419</v>
      </c>
      <c r="H23" s="90">
        <v>7453598</v>
      </c>
      <c r="I23" s="782">
        <v>226</v>
      </c>
      <c r="J23" s="550">
        <v>32981</v>
      </c>
      <c r="K23" s="75"/>
      <c r="L23" s="778"/>
      <c r="M23" s="16"/>
      <c r="N23" s="16"/>
      <c r="O23" s="16"/>
      <c r="P23" s="16"/>
      <c r="Q23" s="16"/>
      <c r="R23" s="16"/>
      <c r="S23" s="16"/>
      <c r="T23" s="664"/>
    </row>
    <row r="24" spans="1:20" ht="24.95" customHeight="1" x14ac:dyDescent="0.25">
      <c r="A24" s="2">
        <v>13</v>
      </c>
      <c r="B24" s="137" t="s">
        <v>398</v>
      </c>
      <c r="C24" s="212">
        <v>329</v>
      </c>
      <c r="D24" s="337">
        <v>11508</v>
      </c>
      <c r="E24" s="776">
        <v>235</v>
      </c>
      <c r="F24" s="234">
        <f t="shared" si="0"/>
        <v>2704380</v>
      </c>
      <c r="G24" s="90">
        <v>326</v>
      </c>
      <c r="H24" s="90">
        <v>2517063</v>
      </c>
      <c r="I24" s="782">
        <v>230</v>
      </c>
      <c r="J24" s="550">
        <v>10944</v>
      </c>
      <c r="K24" s="75"/>
      <c r="L24" s="778"/>
      <c r="M24" s="16"/>
      <c r="N24" s="16"/>
      <c r="O24" s="16"/>
      <c r="P24" s="16"/>
      <c r="Q24" s="16"/>
      <c r="R24" s="16"/>
      <c r="S24" s="16"/>
      <c r="T24" s="664"/>
    </row>
    <row r="25" spans="1:20" s="11" customFormat="1" ht="20.100000000000001" customHeight="1" x14ac:dyDescent="0.2">
      <c r="A25" s="2" t="s">
        <v>18</v>
      </c>
      <c r="B25" s="19"/>
      <c r="C25" s="188">
        <f>SUM(C12:C24)</f>
        <v>5308</v>
      </c>
      <c r="D25" s="188">
        <f>SUM(D12:D24)</f>
        <v>259866</v>
      </c>
      <c r="E25" s="188">
        <f>AVERAGE(E12:E24)</f>
        <v>235</v>
      </c>
      <c r="F25" s="188">
        <f>SUM(F12:F24)</f>
        <v>61068510</v>
      </c>
      <c r="G25" s="188">
        <f>SUM(G12:G24)</f>
        <v>5299</v>
      </c>
      <c r="H25" s="188">
        <f>SUM(H12:H24)</f>
        <v>52425456</v>
      </c>
      <c r="I25" s="242">
        <f>H25/J25</f>
        <v>224.85141278800461</v>
      </c>
      <c r="J25" s="642">
        <f>SUM(J12:J24)</f>
        <v>233156</v>
      </c>
      <c r="K25" s="1004">
        <f>J25/D25</f>
        <v>0.89721625760969115</v>
      </c>
      <c r="L25" s="778"/>
      <c r="M25" s="16"/>
      <c r="N25" s="16"/>
      <c r="O25" s="16"/>
      <c r="P25" s="16"/>
      <c r="Q25" s="16"/>
      <c r="R25" s="16"/>
      <c r="S25" s="16"/>
      <c r="T25" s="664"/>
    </row>
    <row r="26" spans="1:20" x14ac:dyDescent="0.2">
      <c r="A26" s="8"/>
      <c r="B26" s="20"/>
      <c r="C26" s="20"/>
      <c r="D26" s="16"/>
      <c r="E26" s="16"/>
      <c r="F26" s="16"/>
      <c r="G26" s="16"/>
      <c r="H26" s="16"/>
      <c r="I26" s="16"/>
      <c r="J26" s="16"/>
      <c r="K26" s="75"/>
      <c r="L26" s="778"/>
      <c r="M26" s="16"/>
      <c r="N26" s="16"/>
      <c r="O26" s="16"/>
      <c r="P26" s="16"/>
      <c r="Q26" s="16"/>
      <c r="R26" s="16"/>
      <c r="S26" s="16"/>
      <c r="T26" s="664"/>
    </row>
    <row r="27" spans="1:20" ht="15.75" customHeight="1" x14ac:dyDescent="0.2">
      <c r="A27" s="11" t="s">
        <v>11</v>
      </c>
      <c r="B27" s="11"/>
      <c r="C27" s="11"/>
      <c r="D27" s="11"/>
      <c r="E27" s="11"/>
      <c r="F27" s="11"/>
      <c r="G27" s="11"/>
      <c r="J27" s="54" t="s">
        <v>12</v>
      </c>
      <c r="K27" s="75"/>
      <c r="L27" s="778"/>
      <c r="M27" s="16"/>
      <c r="N27" s="16"/>
      <c r="O27" s="16"/>
      <c r="P27" s="16"/>
      <c r="Q27" s="16"/>
      <c r="R27" s="16"/>
      <c r="S27" s="16"/>
      <c r="T27" s="664"/>
    </row>
    <row r="28" spans="1:20" ht="12.75" customHeight="1" x14ac:dyDescent="0.2">
      <c r="A28" s="1161" t="s">
        <v>13</v>
      </c>
      <c r="B28" s="1161"/>
      <c r="C28" s="1161"/>
      <c r="D28" s="1161"/>
      <c r="E28" s="1161"/>
      <c r="F28" s="1161"/>
      <c r="G28" s="1161"/>
      <c r="H28" s="1161"/>
      <c r="I28" s="1161"/>
      <c r="J28" s="1161"/>
      <c r="K28" s="75"/>
      <c r="L28" s="11"/>
      <c r="M28" s="16"/>
      <c r="N28" s="16"/>
      <c r="O28" s="16"/>
      <c r="P28" s="16"/>
      <c r="Q28" s="16"/>
    </row>
    <row r="29" spans="1:20" ht="12.75" customHeight="1" x14ac:dyDescent="0.2">
      <c r="A29" s="1161" t="s">
        <v>19</v>
      </c>
      <c r="B29" s="1161"/>
      <c r="C29" s="1161"/>
      <c r="D29" s="1161"/>
      <c r="E29" s="1161"/>
      <c r="F29" s="1161"/>
      <c r="G29" s="1161"/>
      <c r="H29" s="1161"/>
      <c r="I29" s="1161"/>
      <c r="J29" s="1161"/>
      <c r="K29" s="75"/>
      <c r="L29" s="75"/>
      <c r="M29" s="16"/>
      <c r="N29" s="16"/>
      <c r="O29" s="16"/>
      <c r="P29" s="16"/>
      <c r="Q29" s="16"/>
    </row>
    <row r="30" spans="1:20" x14ac:dyDescent="0.2">
      <c r="A30" s="11"/>
      <c r="B30" s="11"/>
      <c r="C30" s="11"/>
      <c r="E30" s="11"/>
      <c r="I30" s="1075" t="s">
        <v>84</v>
      </c>
      <c r="J30" s="1075"/>
      <c r="K30" s="1075"/>
      <c r="L30" s="1075"/>
      <c r="M30" s="1075"/>
      <c r="N30" s="1075"/>
    </row>
    <row r="34" spans="1:10" x14ac:dyDescent="0.2">
      <c r="A34" s="1173"/>
      <c r="B34" s="1173"/>
      <c r="C34" s="1173"/>
      <c r="D34" s="1173"/>
      <c r="E34" s="1173"/>
      <c r="F34" s="1173"/>
      <c r="G34" s="1173"/>
      <c r="H34" s="1173"/>
      <c r="I34" s="1173"/>
      <c r="J34" s="1173"/>
    </row>
    <row r="36" spans="1:10" x14ac:dyDescent="0.2">
      <c r="A36" s="1173"/>
      <c r="B36" s="1173"/>
      <c r="C36" s="1173"/>
      <c r="D36" s="1173"/>
      <c r="E36" s="1173"/>
      <c r="F36" s="1173"/>
      <c r="G36" s="1173"/>
      <c r="H36" s="1173"/>
      <c r="I36" s="1173"/>
      <c r="J36" s="1173"/>
    </row>
  </sheetData>
  <mergeCells count="16">
    <mergeCell ref="A34:J34"/>
    <mergeCell ref="A36:J36"/>
    <mergeCell ref="E1:I1"/>
    <mergeCell ref="A2:J2"/>
    <mergeCell ref="A3:J3"/>
    <mergeCell ref="A5:J5"/>
    <mergeCell ref="I8:J8"/>
    <mergeCell ref="A9:A10"/>
    <mergeCell ref="I30:N30"/>
    <mergeCell ref="J1:N1"/>
    <mergeCell ref="A28:J28"/>
    <mergeCell ref="A29:J29"/>
    <mergeCell ref="B9:B10"/>
    <mergeCell ref="G9:J9"/>
    <mergeCell ref="C9:F9"/>
    <mergeCell ref="A8:C8"/>
  </mergeCells>
  <phoneticPr fontId="0" type="noConversion"/>
  <printOptions horizontalCentered="1"/>
  <pageMargins left="0.70866141732283472" right="0.56999999999999995" top="0.23622047244094491" bottom="0" header="0.31496062992125984" footer="0.31496062992125984"/>
  <pageSetup paperSize="9" scale="9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5" tint="0.39997558519241921"/>
  </sheetPr>
  <dimension ref="A1:J30"/>
  <sheetViews>
    <sheetView workbookViewId="0">
      <selection activeCell="L9" sqref="L9"/>
    </sheetView>
  </sheetViews>
  <sheetFormatPr defaultRowHeight="12.75" x14ac:dyDescent="0.2"/>
  <cols>
    <col min="1" max="1" width="6.42578125" customWidth="1"/>
    <col min="2" max="2" width="17.85546875" customWidth="1"/>
    <col min="3" max="3" width="12.5703125" customWidth="1"/>
    <col min="4" max="4" width="10.5703125" customWidth="1"/>
    <col min="5" max="5" width="13.7109375" customWidth="1"/>
    <col min="6" max="6" width="15.28515625" customWidth="1"/>
    <col min="7" max="7" width="13.42578125" customWidth="1"/>
    <col min="8" max="8" width="14.5703125" customWidth="1"/>
    <col min="9" max="9" width="16" customWidth="1"/>
    <col min="10" max="10" width="19.140625" customWidth="1"/>
  </cols>
  <sheetData>
    <row r="1" spans="1:10" x14ac:dyDescent="0.2">
      <c r="E1" s="1037"/>
      <c r="F1" s="1037"/>
      <c r="G1" s="1037"/>
      <c r="H1" s="1037"/>
      <c r="I1" s="1037"/>
      <c r="J1" s="85" t="s">
        <v>492</v>
      </c>
    </row>
    <row r="2" spans="1:10" ht="15" x14ac:dyDescent="0.2">
      <c r="A2" s="1152" t="s">
        <v>0</v>
      </c>
      <c r="B2" s="1152"/>
      <c r="C2" s="1152"/>
      <c r="D2" s="1152"/>
      <c r="E2" s="1152"/>
      <c r="F2" s="1152"/>
      <c r="G2" s="1152"/>
      <c r="H2" s="1152"/>
      <c r="I2" s="1152"/>
      <c r="J2" s="1152"/>
    </row>
    <row r="3" spans="1:10" ht="20.25" x14ac:dyDescent="0.3">
      <c r="A3" s="1180" t="s">
        <v>788</v>
      </c>
      <c r="B3" s="1180"/>
      <c r="C3" s="1180"/>
      <c r="D3" s="1180"/>
      <c r="E3" s="1180"/>
      <c r="F3" s="1180"/>
      <c r="G3" s="1180"/>
      <c r="H3" s="1180"/>
      <c r="I3" s="1180"/>
      <c r="J3" s="1180"/>
    </row>
    <row r="5" spans="1:10" ht="15.75" x14ac:dyDescent="0.25">
      <c r="A5" s="1181" t="s">
        <v>804</v>
      </c>
      <c r="B5" s="1181"/>
      <c r="C5" s="1181"/>
      <c r="D5" s="1181"/>
      <c r="E5" s="1181"/>
      <c r="F5" s="1181"/>
      <c r="G5" s="1181"/>
      <c r="H5" s="1181"/>
      <c r="I5" s="1181"/>
      <c r="J5" s="1181"/>
    </row>
    <row r="6" spans="1:10" x14ac:dyDescent="0.2">
      <c r="A6" s="12"/>
      <c r="B6" s="12"/>
      <c r="C6" s="12"/>
      <c r="D6" s="12"/>
      <c r="E6" s="12"/>
      <c r="F6" s="12"/>
      <c r="G6" s="12"/>
      <c r="H6" s="12"/>
      <c r="I6" s="12"/>
      <c r="J6" s="12"/>
    </row>
    <row r="7" spans="1:10" x14ac:dyDescent="0.2">
      <c r="A7" s="1147" t="s">
        <v>456</v>
      </c>
      <c r="B7" s="1147"/>
      <c r="C7" s="1147"/>
      <c r="D7" s="451"/>
      <c r="E7" s="451"/>
      <c r="F7" s="451"/>
      <c r="G7" s="451"/>
      <c r="H7" s="451"/>
      <c r="I7" s="1133" t="s">
        <v>801</v>
      </c>
      <c r="J7" s="1133"/>
    </row>
    <row r="8" spans="1:10" ht="21.75" customHeight="1" x14ac:dyDescent="0.2">
      <c r="A8" s="1145" t="s">
        <v>2</v>
      </c>
      <c r="B8" s="1145" t="s">
        <v>3</v>
      </c>
      <c r="C8" s="1168" t="s">
        <v>802</v>
      </c>
      <c r="D8" s="1134"/>
      <c r="E8" s="1134"/>
      <c r="F8" s="1159"/>
      <c r="G8" s="1168" t="s">
        <v>108</v>
      </c>
      <c r="H8" s="1134"/>
      <c r="I8" s="1134"/>
      <c r="J8" s="1159"/>
    </row>
    <row r="9" spans="1:10" ht="63" customHeight="1" x14ac:dyDescent="0.2">
      <c r="A9" s="1145"/>
      <c r="B9" s="1145"/>
      <c r="C9" s="189" t="s">
        <v>198</v>
      </c>
      <c r="D9" s="189" t="s">
        <v>16</v>
      </c>
      <c r="E9" s="774" t="s">
        <v>803</v>
      </c>
      <c r="F9" s="194" t="s">
        <v>214</v>
      </c>
      <c r="G9" s="189" t="s">
        <v>198</v>
      </c>
      <c r="H9" s="239" t="s">
        <v>17</v>
      </c>
      <c r="I9" s="240" t="s">
        <v>116</v>
      </c>
      <c r="J9" s="189" t="s">
        <v>215</v>
      </c>
    </row>
    <row r="10" spans="1:10" x14ac:dyDescent="0.2">
      <c r="A10" s="189">
        <v>1</v>
      </c>
      <c r="B10" s="189">
        <v>2</v>
      </c>
      <c r="C10" s="189">
        <v>3</v>
      </c>
      <c r="D10" s="189">
        <v>4</v>
      </c>
      <c r="E10" s="189">
        <v>5</v>
      </c>
      <c r="F10" s="194">
        <v>6</v>
      </c>
      <c r="G10" s="189">
        <v>7</v>
      </c>
      <c r="H10" s="195">
        <v>8</v>
      </c>
      <c r="I10" s="189">
        <v>9</v>
      </c>
      <c r="J10" s="189">
        <v>10</v>
      </c>
    </row>
    <row r="11" spans="1:10" ht="20.25" customHeight="1" x14ac:dyDescent="0.2">
      <c r="A11" s="2">
        <v>1</v>
      </c>
      <c r="B11" s="2" t="s">
        <v>386</v>
      </c>
      <c r="C11" s="1182" t="s">
        <v>399</v>
      </c>
      <c r="D11" s="1183"/>
      <c r="E11" s="1183"/>
      <c r="F11" s="1183"/>
      <c r="G11" s="1183"/>
      <c r="H11" s="1183"/>
      <c r="I11" s="1183"/>
      <c r="J11" s="1184"/>
    </row>
    <row r="12" spans="1:10" ht="20.25" customHeight="1" x14ac:dyDescent="0.2">
      <c r="A12" s="2">
        <v>2</v>
      </c>
      <c r="B12" s="2" t="s">
        <v>387</v>
      </c>
      <c r="C12" s="1185"/>
      <c r="D12" s="1186"/>
      <c r="E12" s="1186"/>
      <c r="F12" s="1186"/>
      <c r="G12" s="1186"/>
      <c r="H12" s="1186"/>
      <c r="I12" s="1186"/>
      <c r="J12" s="1187"/>
    </row>
    <row r="13" spans="1:10" ht="20.25" customHeight="1" x14ac:dyDescent="0.2">
      <c r="A13" s="2">
        <v>3</v>
      </c>
      <c r="B13" s="2" t="s">
        <v>388</v>
      </c>
      <c r="C13" s="1185"/>
      <c r="D13" s="1186"/>
      <c r="E13" s="1186"/>
      <c r="F13" s="1186"/>
      <c r="G13" s="1186"/>
      <c r="H13" s="1186"/>
      <c r="I13" s="1186"/>
      <c r="J13" s="1187"/>
    </row>
    <row r="14" spans="1:10" ht="20.25" customHeight="1" x14ac:dyDescent="0.2">
      <c r="A14" s="2">
        <v>4</v>
      </c>
      <c r="B14" s="2" t="s">
        <v>389</v>
      </c>
      <c r="C14" s="1185"/>
      <c r="D14" s="1186"/>
      <c r="E14" s="1186"/>
      <c r="F14" s="1186"/>
      <c r="G14" s="1186"/>
      <c r="H14" s="1186"/>
      <c r="I14" s="1186"/>
      <c r="J14" s="1187"/>
    </row>
    <row r="15" spans="1:10" ht="20.25" customHeight="1" x14ac:dyDescent="0.2">
      <c r="A15" s="2">
        <v>5</v>
      </c>
      <c r="B15" s="487" t="s">
        <v>390</v>
      </c>
      <c r="C15" s="1185"/>
      <c r="D15" s="1186"/>
      <c r="E15" s="1186"/>
      <c r="F15" s="1186"/>
      <c r="G15" s="1186"/>
      <c r="H15" s="1186"/>
      <c r="I15" s="1186"/>
      <c r="J15" s="1187"/>
    </row>
    <row r="16" spans="1:10" ht="20.25" customHeight="1" x14ac:dyDescent="0.2">
      <c r="A16" s="2">
        <v>6</v>
      </c>
      <c r="B16" s="2" t="s">
        <v>391</v>
      </c>
      <c r="C16" s="1185"/>
      <c r="D16" s="1186"/>
      <c r="E16" s="1186"/>
      <c r="F16" s="1186"/>
      <c r="G16" s="1186"/>
      <c r="H16" s="1186"/>
      <c r="I16" s="1186"/>
      <c r="J16" s="1187"/>
    </row>
    <row r="17" spans="1:10" ht="20.25" customHeight="1" x14ac:dyDescent="0.2">
      <c r="A17" s="2">
        <v>7</v>
      </c>
      <c r="B17" s="487" t="s">
        <v>392</v>
      </c>
      <c r="C17" s="1185"/>
      <c r="D17" s="1186"/>
      <c r="E17" s="1186"/>
      <c r="F17" s="1186"/>
      <c r="G17" s="1186"/>
      <c r="H17" s="1186"/>
      <c r="I17" s="1186"/>
      <c r="J17" s="1187"/>
    </row>
    <row r="18" spans="1:10" ht="20.25" customHeight="1" x14ac:dyDescent="0.2">
      <c r="A18" s="2">
        <v>8</v>
      </c>
      <c r="B18" s="2" t="s">
        <v>393</v>
      </c>
      <c r="C18" s="1185"/>
      <c r="D18" s="1186"/>
      <c r="E18" s="1186"/>
      <c r="F18" s="1186"/>
      <c r="G18" s="1186"/>
      <c r="H18" s="1186"/>
      <c r="I18" s="1186"/>
      <c r="J18" s="1187"/>
    </row>
    <row r="19" spans="1:10" ht="20.25" customHeight="1" x14ac:dyDescent="0.2">
      <c r="A19" s="2">
        <v>9</v>
      </c>
      <c r="B19" s="2" t="s">
        <v>394</v>
      </c>
      <c r="C19" s="1185"/>
      <c r="D19" s="1186"/>
      <c r="E19" s="1186"/>
      <c r="F19" s="1186"/>
      <c r="G19" s="1186"/>
      <c r="H19" s="1186"/>
      <c r="I19" s="1186"/>
      <c r="J19" s="1187"/>
    </row>
    <row r="20" spans="1:10" ht="20.25" customHeight="1" x14ac:dyDescent="0.2">
      <c r="A20" s="2">
        <v>10</v>
      </c>
      <c r="B20" s="2" t="s">
        <v>395</v>
      </c>
      <c r="C20" s="1185"/>
      <c r="D20" s="1186"/>
      <c r="E20" s="1186"/>
      <c r="F20" s="1186"/>
      <c r="G20" s="1186"/>
      <c r="H20" s="1186"/>
      <c r="I20" s="1186"/>
      <c r="J20" s="1187"/>
    </row>
    <row r="21" spans="1:10" ht="20.25" customHeight="1" x14ac:dyDescent="0.2">
      <c r="A21" s="2">
        <v>11</v>
      </c>
      <c r="B21" s="2" t="s">
        <v>396</v>
      </c>
      <c r="C21" s="1185"/>
      <c r="D21" s="1186"/>
      <c r="E21" s="1186"/>
      <c r="F21" s="1186"/>
      <c r="G21" s="1186"/>
      <c r="H21" s="1186"/>
      <c r="I21" s="1186"/>
      <c r="J21" s="1187"/>
    </row>
    <row r="22" spans="1:10" ht="20.25" customHeight="1" x14ac:dyDescent="0.2">
      <c r="A22" s="2">
        <v>12</v>
      </c>
      <c r="B22" s="2" t="s">
        <v>397</v>
      </c>
      <c r="C22" s="1185"/>
      <c r="D22" s="1186"/>
      <c r="E22" s="1186"/>
      <c r="F22" s="1186"/>
      <c r="G22" s="1186"/>
      <c r="H22" s="1186"/>
      <c r="I22" s="1186"/>
      <c r="J22" s="1187"/>
    </row>
    <row r="23" spans="1:10" ht="20.25" customHeight="1" x14ac:dyDescent="0.2">
      <c r="A23" s="2">
        <v>13</v>
      </c>
      <c r="B23" s="2" t="s">
        <v>398</v>
      </c>
      <c r="C23" s="1185"/>
      <c r="D23" s="1186"/>
      <c r="E23" s="1186"/>
      <c r="F23" s="1186"/>
      <c r="G23" s="1186"/>
      <c r="H23" s="1186"/>
      <c r="I23" s="1186"/>
      <c r="J23" s="1187"/>
    </row>
    <row r="24" spans="1:10" s="11" customFormat="1" ht="20.25" customHeight="1" x14ac:dyDescent="0.2">
      <c r="A24" s="2" t="s">
        <v>18</v>
      </c>
      <c r="B24" s="2"/>
      <c r="C24" s="1188"/>
      <c r="D24" s="1189"/>
      <c r="E24" s="1189"/>
      <c r="F24" s="1189"/>
      <c r="G24" s="1189"/>
      <c r="H24" s="1189"/>
      <c r="I24" s="1189"/>
      <c r="J24" s="1190"/>
    </row>
    <row r="25" spans="1:10" x14ac:dyDescent="0.2">
      <c r="A25" s="8"/>
      <c r="B25" s="20"/>
      <c r="C25" s="20"/>
      <c r="D25" s="16"/>
      <c r="E25" s="16"/>
      <c r="F25" s="16"/>
      <c r="G25" s="16"/>
      <c r="H25" s="16"/>
      <c r="I25" s="16"/>
      <c r="J25" s="16"/>
    </row>
    <row r="26" spans="1:10" x14ac:dyDescent="0.2">
      <c r="A26" s="8"/>
      <c r="B26" s="20"/>
      <c r="C26" s="20"/>
      <c r="D26" s="16"/>
      <c r="E26" s="16"/>
      <c r="F26" s="16"/>
      <c r="G26" s="16"/>
      <c r="H26" s="16"/>
      <c r="I26" s="16"/>
      <c r="J26" s="16"/>
    </row>
    <row r="27" spans="1:10" x14ac:dyDescent="0.2">
      <c r="A27" s="11" t="s">
        <v>11</v>
      </c>
      <c r="B27" s="11"/>
      <c r="C27" s="11"/>
      <c r="D27" s="11"/>
      <c r="E27" s="11"/>
      <c r="F27" s="11"/>
      <c r="G27" s="11"/>
      <c r="H27" s="12"/>
      <c r="I27" s="1073" t="s">
        <v>12</v>
      </c>
      <c r="J27" s="1073"/>
    </row>
    <row r="28" spans="1:10" x14ac:dyDescent="0.2">
      <c r="A28" s="1161" t="s">
        <v>13</v>
      </c>
      <c r="B28" s="1161"/>
      <c r="C28" s="1161"/>
      <c r="D28" s="1161"/>
      <c r="E28" s="1161"/>
      <c r="F28" s="1161"/>
      <c r="G28" s="1161"/>
      <c r="H28" s="1161"/>
      <c r="I28" s="1161"/>
      <c r="J28" s="1161"/>
    </row>
    <row r="29" spans="1:10" x14ac:dyDescent="0.2">
      <c r="A29" s="1161" t="s">
        <v>19</v>
      </c>
      <c r="B29" s="1161"/>
      <c r="C29" s="1161"/>
      <c r="D29" s="1161"/>
      <c r="E29" s="1161"/>
      <c r="F29" s="1161"/>
      <c r="G29" s="1161"/>
      <c r="H29" s="1161"/>
      <c r="I29" s="1161"/>
      <c r="J29" s="1161"/>
    </row>
    <row r="30" spans="1:10" x14ac:dyDescent="0.2">
      <c r="A30" s="11"/>
      <c r="B30" s="11"/>
      <c r="C30" s="11"/>
      <c r="D30" s="12"/>
      <c r="E30" s="11"/>
      <c r="F30" s="12"/>
      <c r="G30" s="12"/>
      <c r="H30" s="1037" t="s">
        <v>84</v>
      </c>
      <c r="I30" s="1037"/>
      <c r="J30" s="1037"/>
    </row>
  </sheetData>
  <mergeCells count="15">
    <mergeCell ref="A29:J29"/>
    <mergeCell ref="H30:J30"/>
    <mergeCell ref="A8:A9"/>
    <mergeCell ref="B8:B9"/>
    <mergeCell ref="C8:F8"/>
    <mergeCell ref="G8:J8"/>
    <mergeCell ref="I27:J27"/>
    <mergeCell ref="A28:J28"/>
    <mergeCell ref="C11:J24"/>
    <mergeCell ref="E1:I1"/>
    <mergeCell ref="A2:J2"/>
    <mergeCell ref="A3:J3"/>
    <mergeCell ref="A5:J5"/>
    <mergeCell ref="A7:C7"/>
    <mergeCell ref="I7:J7"/>
  </mergeCells>
  <printOptions horizontalCentered="1"/>
  <pageMargins left="0.32" right="0.35" top="0.41" bottom="0.3" header="0.3" footer="0.2"/>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5" tint="0.39997558519241921"/>
  </sheetPr>
  <dimension ref="A2:L30"/>
  <sheetViews>
    <sheetView view="pageBreakPreview" zoomScale="112" zoomScaleSheetLayoutView="112" workbookViewId="0">
      <selection activeCell="L8" sqref="L8"/>
    </sheetView>
  </sheetViews>
  <sheetFormatPr defaultRowHeight="12.75" x14ac:dyDescent="0.2"/>
  <cols>
    <col min="2" max="2" width="14.85546875" customWidth="1"/>
    <col min="3" max="3" width="12.28515625" customWidth="1"/>
    <col min="4" max="4" width="11.42578125" customWidth="1"/>
    <col min="5" max="5" width="14" customWidth="1"/>
    <col min="6" max="6" width="15.28515625" customWidth="1"/>
    <col min="7" max="7" width="12.85546875" customWidth="1"/>
    <col min="8" max="8" width="14.5703125" customWidth="1"/>
    <col min="9" max="10" width="14.7109375" customWidth="1"/>
  </cols>
  <sheetData>
    <row r="2" spans="1:12" x14ac:dyDescent="0.2">
      <c r="E2" s="1037"/>
      <c r="F2" s="1037"/>
      <c r="G2" s="1037"/>
      <c r="H2" s="1037"/>
      <c r="I2" s="1037"/>
      <c r="J2" s="461" t="s">
        <v>493</v>
      </c>
    </row>
    <row r="3" spans="1:12" ht="15" x14ac:dyDescent="0.2">
      <c r="A3" s="1152" t="s">
        <v>0</v>
      </c>
      <c r="B3" s="1152"/>
      <c r="C3" s="1152"/>
      <c r="D3" s="1152"/>
      <c r="E3" s="1152"/>
      <c r="F3" s="1152"/>
      <c r="G3" s="1152"/>
      <c r="H3" s="1152"/>
      <c r="I3" s="1152"/>
      <c r="J3" s="1152"/>
    </row>
    <row r="4" spans="1:12" ht="20.25" x14ac:dyDescent="0.3">
      <c r="A4" s="1180" t="s">
        <v>788</v>
      </c>
      <c r="B4" s="1180"/>
      <c r="C4" s="1180"/>
      <c r="D4" s="1180"/>
      <c r="E4" s="1180"/>
      <c r="F4" s="1180"/>
      <c r="G4" s="1180"/>
      <c r="H4" s="1180"/>
      <c r="I4" s="1180"/>
      <c r="J4" s="1180"/>
    </row>
    <row r="5" spans="1:12" ht="15.75" x14ac:dyDescent="0.25">
      <c r="A5" s="1181" t="s">
        <v>805</v>
      </c>
      <c r="B5" s="1181"/>
      <c r="C5" s="1181"/>
      <c r="D5" s="1181"/>
      <c r="E5" s="1181"/>
      <c r="F5" s="1181"/>
      <c r="G5" s="1181"/>
      <c r="H5" s="1181"/>
      <c r="I5" s="1181"/>
      <c r="J5" s="1181"/>
    </row>
    <row r="6" spans="1:12" x14ac:dyDescent="0.2">
      <c r="A6" s="1147" t="s">
        <v>456</v>
      </c>
      <c r="B6" s="1147"/>
      <c r="C6" s="1147"/>
      <c r="D6" s="451"/>
      <c r="E6" s="451"/>
      <c r="F6" s="451"/>
      <c r="G6" s="451"/>
      <c r="H6" s="451"/>
      <c r="I6" s="1133" t="s">
        <v>801</v>
      </c>
      <c r="J6" s="1133"/>
    </row>
    <row r="7" spans="1:12" x14ac:dyDescent="0.2">
      <c r="A7" s="1145" t="s">
        <v>2</v>
      </c>
      <c r="B7" s="1145" t="s">
        <v>3</v>
      </c>
      <c r="C7" s="1168" t="s">
        <v>802</v>
      </c>
      <c r="D7" s="1134"/>
      <c r="E7" s="1134"/>
      <c r="F7" s="1159"/>
      <c r="G7" s="1168" t="s">
        <v>108</v>
      </c>
      <c r="H7" s="1134"/>
      <c r="I7" s="1134"/>
      <c r="J7" s="1159"/>
    </row>
    <row r="8" spans="1:12" ht="51" x14ac:dyDescent="0.2">
      <c r="A8" s="1145"/>
      <c r="B8" s="1145"/>
      <c r="C8" s="189" t="s">
        <v>198</v>
      </c>
      <c r="D8" s="189" t="s">
        <v>16</v>
      </c>
      <c r="E8" s="194" t="s">
        <v>494</v>
      </c>
      <c r="F8" s="194" t="s">
        <v>214</v>
      </c>
      <c r="G8" s="189" t="s">
        <v>198</v>
      </c>
      <c r="H8" s="239" t="s">
        <v>17</v>
      </c>
      <c r="I8" s="240" t="s">
        <v>116</v>
      </c>
      <c r="J8" s="189" t="s">
        <v>215</v>
      </c>
    </row>
    <row r="9" spans="1:12" x14ac:dyDescent="0.2">
      <c r="A9" s="4">
        <v>1</v>
      </c>
      <c r="B9" s="4">
        <v>2</v>
      </c>
      <c r="C9" s="4">
        <v>3</v>
      </c>
      <c r="D9" s="4">
        <v>4</v>
      </c>
      <c r="E9" s="4">
        <v>5</v>
      </c>
      <c r="F9" s="5">
        <v>6</v>
      </c>
      <c r="G9" s="4">
        <v>7</v>
      </c>
      <c r="H9" s="279">
        <v>8</v>
      </c>
      <c r="I9" s="4">
        <v>9</v>
      </c>
      <c r="J9" s="4">
        <v>10</v>
      </c>
    </row>
    <row r="10" spans="1:12" s="328" customFormat="1" ht="21.75" customHeight="1" x14ac:dyDescent="0.2">
      <c r="A10" s="188">
        <v>1</v>
      </c>
      <c r="B10" s="188" t="s">
        <v>386</v>
      </c>
      <c r="C10" s="1182" t="s">
        <v>399</v>
      </c>
      <c r="D10" s="1183"/>
      <c r="E10" s="1183"/>
      <c r="F10" s="1183"/>
      <c r="G10" s="1183"/>
      <c r="H10" s="1183"/>
      <c r="I10" s="1183"/>
      <c r="J10" s="1184"/>
      <c r="K10"/>
      <c r="L10"/>
    </row>
    <row r="11" spans="1:12" s="328" customFormat="1" ht="21.75" customHeight="1" x14ac:dyDescent="0.2">
      <c r="A11" s="188">
        <v>2</v>
      </c>
      <c r="B11" s="188" t="s">
        <v>387</v>
      </c>
      <c r="C11" s="1185"/>
      <c r="D11" s="1186"/>
      <c r="E11" s="1186"/>
      <c r="F11" s="1186"/>
      <c r="G11" s="1186"/>
      <c r="H11" s="1186"/>
      <c r="I11" s="1186"/>
      <c r="J11" s="1187"/>
      <c r="K11"/>
      <c r="L11"/>
    </row>
    <row r="12" spans="1:12" s="328" customFormat="1" ht="21.75" customHeight="1" x14ac:dyDescent="0.2">
      <c r="A12" s="188">
        <v>3</v>
      </c>
      <c r="B12" s="188" t="s">
        <v>388</v>
      </c>
      <c r="C12" s="1185"/>
      <c r="D12" s="1186"/>
      <c r="E12" s="1186"/>
      <c r="F12" s="1186"/>
      <c r="G12" s="1186"/>
      <c r="H12" s="1186"/>
      <c r="I12" s="1186"/>
      <c r="J12" s="1187"/>
      <c r="K12"/>
      <c r="L12"/>
    </row>
    <row r="13" spans="1:12" s="328" customFormat="1" ht="21.75" customHeight="1" x14ac:dyDescent="0.2">
      <c r="A13" s="188">
        <v>4</v>
      </c>
      <c r="B13" s="188" t="s">
        <v>389</v>
      </c>
      <c r="C13" s="1185"/>
      <c r="D13" s="1186"/>
      <c r="E13" s="1186"/>
      <c r="F13" s="1186"/>
      <c r="G13" s="1186"/>
      <c r="H13" s="1186"/>
      <c r="I13" s="1186"/>
      <c r="J13" s="1187"/>
      <c r="K13"/>
      <c r="L13"/>
    </row>
    <row r="14" spans="1:12" s="328" customFormat="1" ht="21.75" customHeight="1" x14ac:dyDescent="0.2">
      <c r="A14" s="188">
        <v>5</v>
      </c>
      <c r="B14" s="346" t="s">
        <v>390</v>
      </c>
      <c r="C14" s="1185"/>
      <c r="D14" s="1186"/>
      <c r="E14" s="1186"/>
      <c r="F14" s="1186"/>
      <c r="G14" s="1186"/>
      <c r="H14" s="1186"/>
      <c r="I14" s="1186"/>
      <c r="J14" s="1187"/>
      <c r="K14"/>
    </row>
    <row r="15" spans="1:12" s="328" customFormat="1" ht="21.75" customHeight="1" x14ac:dyDescent="0.2">
      <c r="A15" s="188">
        <v>6</v>
      </c>
      <c r="B15" s="188" t="s">
        <v>391</v>
      </c>
      <c r="C15" s="1185"/>
      <c r="D15" s="1186"/>
      <c r="E15" s="1186"/>
      <c r="F15" s="1186"/>
      <c r="G15" s="1186"/>
      <c r="H15" s="1186"/>
      <c r="I15" s="1186"/>
      <c r="J15" s="1187"/>
      <c r="K15"/>
      <c r="L15"/>
    </row>
    <row r="16" spans="1:12" s="328" customFormat="1" ht="21.75" customHeight="1" x14ac:dyDescent="0.2">
      <c r="A16" s="188">
        <v>7</v>
      </c>
      <c r="B16" s="346" t="s">
        <v>392</v>
      </c>
      <c r="C16" s="1185"/>
      <c r="D16" s="1186"/>
      <c r="E16" s="1186"/>
      <c r="F16" s="1186"/>
      <c r="G16" s="1186"/>
      <c r="H16" s="1186"/>
      <c r="I16" s="1186"/>
      <c r="J16" s="1187"/>
      <c r="K16"/>
      <c r="L16"/>
    </row>
    <row r="17" spans="1:12" s="328" customFormat="1" ht="21.75" customHeight="1" x14ac:dyDescent="0.2">
      <c r="A17" s="188">
        <v>8</v>
      </c>
      <c r="B17" s="188" t="s">
        <v>393</v>
      </c>
      <c r="C17" s="1185"/>
      <c r="D17" s="1186"/>
      <c r="E17" s="1186"/>
      <c r="F17" s="1186"/>
      <c r="G17" s="1186"/>
      <c r="H17" s="1186"/>
      <c r="I17" s="1186"/>
      <c r="J17" s="1187"/>
      <c r="K17"/>
      <c r="L17"/>
    </row>
    <row r="18" spans="1:12" s="328" customFormat="1" ht="21.75" customHeight="1" x14ac:dyDescent="0.2">
      <c r="A18" s="188">
        <v>9</v>
      </c>
      <c r="B18" s="188" t="s">
        <v>394</v>
      </c>
      <c r="C18" s="1185"/>
      <c r="D18" s="1186"/>
      <c r="E18" s="1186"/>
      <c r="F18" s="1186"/>
      <c r="G18" s="1186"/>
      <c r="H18" s="1186"/>
      <c r="I18" s="1186"/>
      <c r="J18" s="1187"/>
      <c r="K18"/>
      <c r="L18"/>
    </row>
    <row r="19" spans="1:12" s="328" customFormat="1" ht="21.75" customHeight="1" x14ac:dyDescent="0.2">
      <c r="A19" s="188">
        <v>10</v>
      </c>
      <c r="B19" s="188" t="s">
        <v>395</v>
      </c>
      <c r="C19" s="1185"/>
      <c r="D19" s="1186"/>
      <c r="E19" s="1186"/>
      <c r="F19" s="1186"/>
      <c r="G19" s="1186"/>
      <c r="H19" s="1186"/>
      <c r="I19" s="1186"/>
      <c r="J19" s="1187"/>
      <c r="K19"/>
      <c r="L19"/>
    </row>
    <row r="20" spans="1:12" s="328" customFormat="1" ht="21.75" customHeight="1" x14ac:dyDescent="0.2">
      <c r="A20" s="188">
        <v>11</v>
      </c>
      <c r="B20" s="188" t="s">
        <v>396</v>
      </c>
      <c r="C20" s="1185"/>
      <c r="D20" s="1186"/>
      <c r="E20" s="1186"/>
      <c r="F20" s="1186"/>
      <c r="G20" s="1186"/>
      <c r="H20" s="1186"/>
      <c r="I20" s="1186"/>
      <c r="J20" s="1187"/>
      <c r="K20"/>
      <c r="L20"/>
    </row>
    <row r="21" spans="1:12" s="328" customFormat="1" ht="21.75" customHeight="1" x14ac:dyDescent="0.2">
      <c r="A21" s="188">
        <v>12</v>
      </c>
      <c r="B21" s="188" t="s">
        <v>397</v>
      </c>
      <c r="C21" s="1185"/>
      <c r="D21" s="1186"/>
      <c r="E21" s="1186"/>
      <c r="F21" s="1186"/>
      <c r="G21" s="1186"/>
      <c r="H21" s="1186"/>
      <c r="I21" s="1186"/>
      <c r="J21" s="1187"/>
      <c r="K21"/>
      <c r="L21"/>
    </row>
    <row r="22" spans="1:12" s="328" customFormat="1" ht="21.75" customHeight="1" x14ac:dyDescent="0.2">
      <c r="A22" s="188">
        <v>13</v>
      </c>
      <c r="B22" s="188" t="s">
        <v>398</v>
      </c>
      <c r="C22" s="1185"/>
      <c r="D22" s="1186"/>
      <c r="E22" s="1186"/>
      <c r="F22" s="1186"/>
      <c r="G22" s="1186"/>
      <c r="H22" s="1186"/>
      <c r="I22" s="1186"/>
      <c r="J22" s="1187"/>
      <c r="K22"/>
      <c r="L22"/>
    </row>
    <row r="23" spans="1:12" s="328" customFormat="1" ht="21.75" customHeight="1" x14ac:dyDescent="0.2">
      <c r="A23" s="188" t="s">
        <v>18</v>
      </c>
      <c r="B23" s="188"/>
      <c r="C23" s="1188"/>
      <c r="D23" s="1189"/>
      <c r="E23" s="1189"/>
      <c r="F23" s="1189"/>
      <c r="G23" s="1189"/>
      <c r="H23" s="1189"/>
      <c r="I23" s="1189"/>
      <c r="J23" s="1190"/>
    </row>
    <row r="24" spans="1:12" s="328" customFormat="1" ht="12" customHeight="1" x14ac:dyDescent="0.2">
      <c r="A24" s="579"/>
      <c r="B24" s="278"/>
      <c r="C24" s="480"/>
      <c r="D24" s="480"/>
      <c r="E24" s="480"/>
      <c r="F24" s="480"/>
      <c r="G24" s="480"/>
      <c r="H24" s="480"/>
      <c r="I24" s="480"/>
      <c r="J24" s="480"/>
    </row>
    <row r="25" spans="1:12" s="328" customFormat="1" ht="12" customHeight="1" x14ac:dyDescent="0.2">
      <c r="A25" s="278"/>
      <c r="B25" s="278"/>
      <c r="C25" s="480"/>
      <c r="D25" s="480"/>
      <c r="E25" s="480"/>
      <c r="F25" s="480"/>
      <c r="G25" s="480"/>
      <c r="H25" s="480"/>
      <c r="I25" s="480"/>
      <c r="J25" s="480"/>
    </row>
    <row r="26" spans="1:12" ht="12" customHeight="1" x14ac:dyDescent="0.2">
      <c r="A26" s="8"/>
      <c r="B26" s="20"/>
      <c r="C26" s="20"/>
      <c r="D26" s="16"/>
      <c r="E26" s="16"/>
      <c r="F26" s="16"/>
      <c r="G26" s="16"/>
      <c r="H26" s="16"/>
      <c r="I26" s="16"/>
      <c r="J26" s="16"/>
    </row>
    <row r="27" spans="1:12" ht="12" customHeight="1" x14ac:dyDescent="0.2">
      <c r="A27" s="11" t="s">
        <v>11</v>
      </c>
      <c r="B27" s="11"/>
      <c r="C27" s="11"/>
      <c r="D27" s="11"/>
      <c r="E27" s="11"/>
      <c r="F27" s="11"/>
      <c r="G27" s="11"/>
      <c r="H27" s="12"/>
      <c r="I27" s="1073" t="s">
        <v>12</v>
      </c>
      <c r="J27" s="1073"/>
    </row>
    <row r="28" spans="1:12" ht="12" customHeight="1" x14ac:dyDescent="0.2">
      <c r="A28" s="1161" t="s">
        <v>13</v>
      </c>
      <c r="B28" s="1161"/>
      <c r="C28" s="1161"/>
      <c r="D28" s="1161"/>
      <c r="E28" s="1161"/>
      <c r="F28" s="1161"/>
      <c r="G28" s="1161"/>
      <c r="H28" s="1161"/>
      <c r="I28" s="1161"/>
      <c r="J28" s="1161"/>
    </row>
    <row r="29" spans="1:12" ht="12" customHeight="1" x14ac:dyDescent="0.2">
      <c r="A29" s="1161" t="s">
        <v>19</v>
      </c>
      <c r="B29" s="1161"/>
      <c r="C29" s="1161"/>
      <c r="D29" s="1161"/>
      <c r="E29" s="1161"/>
      <c r="F29" s="1161"/>
      <c r="G29" s="1161"/>
      <c r="H29" s="1161"/>
      <c r="I29" s="1161"/>
      <c r="J29" s="1161"/>
    </row>
    <row r="30" spans="1:12" ht="12" customHeight="1" x14ac:dyDescent="0.2">
      <c r="A30" s="11"/>
      <c r="B30" s="11"/>
      <c r="C30" s="11"/>
      <c r="D30" s="12"/>
      <c r="E30" s="11"/>
      <c r="F30" s="12"/>
      <c r="G30" s="12"/>
      <c r="H30" s="1037" t="s">
        <v>611</v>
      </c>
      <c r="I30" s="1037"/>
      <c r="J30" s="1037"/>
    </row>
  </sheetData>
  <mergeCells count="15">
    <mergeCell ref="A29:J29"/>
    <mergeCell ref="H30:J30"/>
    <mergeCell ref="A7:A8"/>
    <mergeCell ref="B7:B8"/>
    <mergeCell ref="C7:F7"/>
    <mergeCell ref="G7:J7"/>
    <mergeCell ref="I27:J27"/>
    <mergeCell ref="A28:J28"/>
    <mergeCell ref="C10:J23"/>
    <mergeCell ref="E2:I2"/>
    <mergeCell ref="A3:J3"/>
    <mergeCell ref="A4:J4"/>
    <mergeCell ref="A5:J5"/>
    <mergeCell ref="A6:C6"/>
    <mergeCell ref="I6:J6"/>
  </mergeCells>
  <printOptions horizontalCentered="1"/>
  <pageMargins left="0.56000000000000005" right="0.48" top="0.3" bottom="0.39" header="0.2"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5" tint="0.39997558519241921"/>
  </sheetPr>
  <dimension ref="A2:J33"/>
  <sheetViews>
    <sheetView view="pageBreakPreview" zoomScale="96" zoomScaleSheetLayoutView="96" workbookViewId="0">
      <selection activeCell="M9" sqref="M9"/>
    </sheetView>
  </sheetViews>
  <sheetFormatPr defaultRowHeight="12.75" x14ac:dyDescent="0.2"/>
  <cols>
    <col min="1" max="1" width="7.42578125" customWidth="1"/>
    <col min="2" max="2" width="15.140625" customWidth="1"/>
    <col min="3" max="3" width="12.28515625" customWidth="1"/>
    <col min="4" max="5" width="10.5703125" customWidth="1"/>
    <col min="6" max="6" width="16.7109375" customWidth="1"/>
    <col min="7" max="7" width="12.5703125" customWidth="1"/>
    <col min="8" max="8" width="13.85546875" customWidth="1"/>
    <col min="9" max="9" width="18" customWidth="1"/>
    <col min="10" max="10" width="20.42578125" customWidth="1"/>
  </cols>
  <sheetData>
    <row r="2" spans="1:10" x14ac:dyDescent="0.2">
      <c r="E2" s="1037"/>
      <c r="F2" s="1037"/>
      <c r="G2" s="1037"/>
      <c r="H2" s="1037"/>
      <c r="I2" s="1037"/>
      <c r="J2" s="461" t="s">
        <v>495</v>
      </c>
    </row>
    <row r="3" spans="1:10" ht="15" x14ac:dyDescent="0.2">
      <c r="A3" s="1152" t="s">
        <v>0</v>
      </c>
      <c r="B3" s="1152"/>
      <c r="C3" s="1152"/>
      <c r="D3" s="1152"/>
      <c r="E3" s="1152"/>
      <c r="F3" s="1152"/>
      <c r="G3" s="1152"/>
      <c r="H3" s="1152"/>
      <c r="I3" s="1152"/>
      <c r="J3" s="1152"/>
    </row>
    <row r="4" spans="1:10" ht="15.75" x14ac:dyDescent="0.25">
      <c r="A4" s="1131" t="s">
        <v>788</v>
      </c>
      <c r="B4" s="1131"/>
      <c r="C4" s="1131"/>
      <c r="D4" s="1131"/>
      <c r="E4" s="1131"/>
      <c r="F4" s="1131"/>
      <c r="G4" s="1131"/>
      <c r="H4" s="1131"/>
      <c r="I4" s="1131"/>
      <c r="J4" s="1131"/>
    </row>
    <row r="5" spans="1:10" ht="15.75" x14ac:dyDescent="0.25">
      <c r="A5" s="1181" t="s">
        <v>729</v>
      </c>
      <c r="B5" s="1181"/>
      <c r="C5" s="1181"/>
      <c r="D5" s="1181"/>
      <c r="E5" s="1181"/>
      <c r="F5" s="1181"/>
      <c r="G5" s="1181"/>
      <c r="H5" s="1181"/>
      <c r="I5" s="1181"/>
      <c r="J5" s="1181"/>
    </row>
    <row r="6" spans="1:10" x14ac:dyDescent="0.2">
      <c r="A6" s="12"/>
      <c r="B6" s="12"/>
      <c r="C6" s="12"/>
      <c r="D6" s="12"/>
      <c r="E6" s="12"/>
      <c r="F6" s="12"/>
      <c r="G6" s="12"/>
      <c r="H6" s="12"/>
      <c r="I6" s="12"/>
      <c r="J6" s="12"/>
    </row>
    <row r="7" spans="1:10" x14ac:dyDescent="0.2">
      <c r="A7" s="1147" t="s">
        <v>456</v>
      </c>
      <c r="B7" s="1147"/>
      <c r="C7" s="1147"/>
      <c r="D7" s="451"/>
      <c r="E7" s="451"/>
      <c r="F7" s="451"/>
      <c r="G7" s="451"/>
      <c r="H7" s="451"/>
      <c r="I7" s="1133" t="s">
        <v>801</v>
      </c>
      <c r="J7" s="1133"/>
    </row>
    <row r="8" spans="1:10" ht="16.5" customHeight="1" x14ac:dyDescent="0.2">
      <c r="A8" s="1145" t="s">
        <v>2</v>
      </c>
      <c r="B8" s="1145" t="s">
        <v>3</v>
      </c>
      <c r="C8" s="1168" t="s">
        <v>802</v>
      </c>
      <c r="D8" s="1134"/>
      <c r="E8" s="1134"/>
      <c r="F8" s="1159"/>
      <c r="G8" s="1168" t="s">
        <v>108</v>
      </c>
      <c r="H8" s="1134"/>
      <c r="I8" s="1134"/>
      <c r="J8" s="1159"/>
    </row>
    <row r="9" spans="1:10" ht="45.75" customHeight="1" x14ac:dyDescent="0.2">
      <c r="A9" s="1145"/>
      <c r="B9" s="1145"/>
      <c r="C9" s="189" t="s">
        <v>198</v>
      </c>
      <c r="D9" s="189" t="s">
        <v>16</v>
      </c>
      <c r="E9" s="194" t="s">
        <v>496</v>
      </c>
      <c r="F9" s="194" t="s">
        <v>214</v>
      </c>
      <c r="G9" s="189" t="s">
        <v>198</v>
      </c>
      <c r="H9" s="239" t="s">
        <v>17</v>
      </c>
      <c r="I9" s="240" t="s">
        <v>116</v>
      </c>
      <c r="J9" s="189" t="s">
        <v>215</v>
      </c>
    </row>
    <row r="10" spans="1:10" x14ac:dyDescent="0.2">
      <c r="A10" s="4">
        <v>1</v>
      </c>
      <c r="B10" s="4">
        <v>2</v>
      </c>
      <c r="C10" s="4">
        <v>3</v>
      </c>
      <c r="D10" s="4">
        <v>4</v>
      </c>
      <c r="E10" s="4">
        <v>5</v>
      </c>
      <c r="F10" s="5">
        <v>6</v>
      </c>
      <c r="G10" s="4">
        <v>7</v>
      </c>
      <c r="H10" s="279">
        <v>8</v>
      </c>
      <c r="I10" s="4">
        <v>9</v>
      </c>
      <c r="J10" s="4">
        <v>10</v>
      </c>
    </row>
    <row r="11" spans="1:10" s="328" customFormat="1" ht="18.75" customHeight="1" x14ac:dyDescent="0.2">
      <c r="A11" s="188">
        <v>1</v>
      </c>
      <c r="B11" s="188" t="s">
        <v>386</v>
      </c>
      <c r="C11" s="1182" t="s">
        <v>399</v>
      </c>
      <c r="D11" s="1183"/>
      <c r="E11" s="1183"/>
      <c r="F11" s="1183"/>
      <c r="G11" s="1183"/>
      <c r="H11" s="1183"/>
      <c r="I11" s="1183"/>
      <c r="J11" s="1184"/>
    </row>
    <row r="12" spans="1:10" s="328" customFormat="1" ht="18.75" customHeight="1" x14ac:dyDescent="0.2">
      <c r="A12" s="188">
        <v>2</v>
      </c>
      <c r="B12" s="188" t="s">
        <v>387</v>
      </c>
      <c r="C12" s="1185"/>
      <c r="D12" s="1186"/>
      <c r="E12" s="1186"/>
      <c r="F12" s="1186"/>
      <c r="G12" s="1186"/>
      <c r="H12" s="1186"/>
      <c r="I12" s="1186"/>
      <c r="J12" s="1187"/>
    </row>
    <row r="13" spans="1:10" s="328" customFormat="1" ht="18.75" customHeight="1" x14ac:dyDescent="0.2">
      <c r="A13" s="188">
        <v>3</v>
      </c>
      <c r="B13" s="188" t="s">
        <v>388</v>
      </c>
      <c r="C13" s="1185"/>
      <c r="D13" s="1186"/>
      <c r="E13" s="1186"/>
      <c r="F13" s="1186"/>
      <c r="G13" s="1186"/>
      <c r="H13" s="1186"/>
      <c r="I13" s="1186"/>
      <c r="J13" s="1187"/>
    </row>
    <row r="14" spans="1:10" s="328" customFormat="1" ht="18.75" customHeight="1" x14ac:dyDescent="0.2">
      <c r="A14" s="188">
        <v>4</v>
      </c>
      <c r="B14" s="188" t="s">
        <v>389</v>
      </c>
      <c r="C14" s="1185"/>
      <c r="D14" s="1186"/>
      <c r="E14" s="1186"/>
      <c r="F14" s="1186"/>
      <c r="G14" s="1186"/>
      <c r="H14" s="1186"/>
      <c r="I14" s="1186"/>
      <c r="J14" s="1187"/>
    </row>
    <row r="15" spans="1:10" s="328" customFormat="1" ht="18.75" customHeight="1" x14ac:dyDescent="0.2">
      <c r="A15" s="188">
        <v>5</v>
      </c>
      <c r="B15" s="346" t="s">
        <v>390</v>
      </c>
      <c r="C15" s="1185"/>
      <c r="D15" s="1186"/>
      <c r="E15" s="1186"/>
      <c r="F15" s="1186"/>
      <c r="G15" s="1186"/>
      <c r="H15" s="1186"/>
      <c r="I15" s="1186"/>
      <c r="J15" s="1187"/>
    </row>
    <row r="16" spans="1:10" s="328" customFormat="1" ht="18.75" customHeight="1" x14ac:dyDescent="0.2">
      <c r="A16" s="188">
        <v>6</v>
      </c>
      <c r="B16" s="188" t="s">
        <v>391</v>
      </c>
      <c r="C16" s="1185"/>
      <c r="D16" s="1186"/>
      <c r="E16" s="1186"/>
      <c r="F16" s="1186"/>
      <c r="G16" s="1186"/>
      <c r="H16" s="1186"/>
      <c r="I16" s="1186"/>
      <c r="J16" s="1187"/>
    </row>
    <row r="17" spans="1:10" s="328" customFormat="1" ht="18.75" customHeight="1" x14ac:dyDescent="0.2">
      <c r="A17" s="188">
        <v>7</v>
      </c>
      <c r="B17" s="346" t="s">
        <v>392</v>
      </c>
      <c r="C17" s="1185"/>
      <c r="D17" s="1186"/>
      <c r="E17" s="1186"/>
      <c r="F17" s="1186"/>
      <c r="G17" s="1186"/>
      <c r="H17" s="1186"/>
      <c r="I17" s="1186"/>
      <c r="J17" s="1187"/>
    </row>
    <row r="18" spans="1:10" s="328" customFormat="1" ht="18.75" customHeight="1" x14ac:dyDescent="0.2">
      <c r="A18" s="188">
        <v>8</v>
      </c>
      <c r="B18" s="188" t="s">
        <v>393</v>
      </c>
      <c r="C18" s="1185"/>
      <c r="D18" s="1186"/>
      <c r="E18" s="1186"/>
      <c r="F18" s="1186"/>
      <c r="G18" s="1186"/>
      <c r="H18" s="1186"/>
      <c r="I18" s="1186"/>
      <c r="J18" s="1187"/>
    </row>
    <row r="19" spans="1:10" s="328" customFormat="1" ht="18.75" customHeight="1" x14ac:dyDescent="0.2">
      <c r="A19" s="188">
        <v>9</v>
      </c>
      <c r="B19" s="188" t="s">
        <v>394</v>
      </c>
      <c r="C19" s="1185"/>
      <c r="D19" s="1186"/>
      <c r="E19" s="1186"/>
      <c r="F19" s="1186"/>
      <c r="G19" s="1186"/>
      <c r="H19" s="1186"/>
      <c r="I19" s="1186"/>
      <c r="J19" s="1187"/>
    </row>
    <row r="20" spans="1:10" s="328" customFormat="1" ht="18.75" customHeight="1" x14ac:dyDescent="0.2">
      <c r="A20" s="188">
        <v>10</v>
      </c>
      <c r="B20" s="188" t="s">
        <v>395</v>
      </c>
      <c r="C20" s="1185"/>
      <c r="D20" s="1186"/>
      <c r="E20" s="1186"/>
      <c r="F20" s="1186"/>
      <c r="G20" s="1186"/>
      <c r="H20" s="1186"/>
      <c r="I20" s="1186"/>
      <c r="J20" s="1187"/>
    </row>
    <row r="21" spans="1:10" s="328" customFormat="1" ht="18.75" customHeight="1" x14ac:dyDescent="0.2">
      <c r="A21" s="188">
        <v>11</v>
      </c>
      <c r="B21" s="188" t="s">
        <v>396</v>
      </c>
      <c r="C21" s="1185"/>
      <c r="D21" s="1186"/>
      <c r="E21" s="1186"/>
      <c r="F21" s="1186"/>
      <c r="G21" s="1186"/>
      <c r="H21" s="1186"/>
      <c r="I21" s="1186"/>
      <c r="J21" s="1187"/>
    </row>
    <row r="22" spans="1:10" s="328" customFormat="1" ht="18.75" customHeight="1" x14ac:dyDescent="0.2">
      <c r="A22" s="188">
        <v>12</v>
      </c>
      <c r="B22" s="188" t="s">
        <v>397</v>
      </c>
      <c r="C22" s="1185"/>
      <c r="D22" s="1186"/>
      <c r="E22" s="1186"/>
      <c r="F22" s="1186"/>
      <c r="G22" s="1186"/>
      <c r="H22" s="1186"/>
      <c r="I22" s="1186"/>
      <c r="J22" s="1187"/>
    </row>
    <row r="23" spans="1:10" s="328" customFormat="1" ht="18.75" customHeight="1" x14ac:dyDescent="0.2">
      <c r="A23" s="188">
        <v>13</v>
      </c>
      <c r="B23" s="188" t="s">
        <v>398</v>
      </c>
      <c r="C23" s="1185"/>
      <c r="D23" s="1186"/>
      <c r="E23" s="1186"/>
      <c r="F23" s="1186"/>
      <c r="G23" s="1186"/>
      <c r="H23" s="1186"/>
      <c r="I23" s="1186"/>
      <c r="J23" s="1187"/>
    </row>
    <row r="24" spans="1:10" s="328" customFormat="1" ht="18.75" customHeight="1" x14ac:dyDescent="0.2">
      <c r="A24" s="188" t="s">
        <v>18</v>
      </c>
      <c r="B24" s="188"/>
      <c r="C24" s="1188"/>
      <c r="D24" s="1189"/>
      <c r="E24" s="1189"/>
      <c r="F24" s="1189"/>
      <c r="G24" s="1189"/>
      <c r="H24" s="1189"/>
      <c r="I24" s="1189"/>
      <c r="J24" s="1190"/>
    </row>
    <row r="25" spans="1:10" x14ac:dyDescent="0.2">
      <c r="A25" s="579"/>
      <c r="B25" s="20"/>
      <c r="C25" s="20"/>
      <c r="D25" s="16"/>
      <c r="E25" s="16"/>
      <c r="F25" s="16"/>
      <c r="G25" s="16"/>
      <c r="H25" s="16"/>
      <c r="I25" s="16"/>
      <c r="J25" s="16"/>
    </row>
    <row r="26" spans="1:10" x14ac:dyDescent="0.2">
      <c r="A26" s="8"/>
      <c r="B26" s="20"/>
      <c r="C26" s="20"/>
      <c r="D26" s="16"/>
      <c r="E26" s="16"/>
      <c r="F26" s="16"/>
      <c r="G26" s="16"/>
      <c r="H26" s="16"/>
      <c r="I26" s="16"/>
      <c r="J26" s="16"/>
    </row>
    <row r="27" spans="1:10" x14ac:dyDescent="0.2">
      <c r="A27" s="8"/>
      <c r="B27" s="20"/>
      <c r="C27" s="20"/>
      <c r="D27" s="16"/>
      <c r="E27" s="16"/>
      <c r="F27" s="16"/>
      <c r="G27" s="16"/>
      <c r="H27" s="16"/>
      <c r="I27" s="16"/>
      <c r="J27" s="16"/>
    </row>
    <row r="28" spans="1:10" x14ac:dyDescent="0.2">
      <c r="A28" s="8"/>
      <c r="B28" s="20"/>
      <c r="C28" s="20"/>
      <c r="D28" s="16"/>
      <c r="E28" s="16"/>
      <c r="F28" s="16"/>
      <c r="G28" s="16"/>
      <c r="H28" s="16"/>
      <c r="I28" s="16"/>
      <c r="J28" s="16"/>
    </row>
    <row r="29" spans="1:10" x14ac:dyDescent="0.2">
      <c r="A29" s="8"/>
      <c r="B29" s="20"/>
      <c r="C29" s="20"/>
      <c r="D29" s="16"/>
      <c r="E29" s="16"/>
      <c r="F29" s="16"/>
      <c r="G29" s="16"/>
      <c r="H29" s="16"/>
      <c r="I29" s="16"/>
      <c r="J29" s="16"/>
    </row>
    <row r="30" spans="1:10" x14ac:dyDescent="0.2">
      <c r="A30" s="11" t="s">
        <v>11</v>
      </c>
      <c r="B30" s="11"/>
      <c r="C30" s="11"/>
      <c r="D30" s="11"/>
      <c r="E30" s="11"/>
      <c r="F30" s="11"/>
      <c r="G30" s="11"/>
      <c r="H30" s="12"/>
      <c r="I30" s="1073" t="s">
        <v>12</v>
      </c>
      <c r="J30" s="1073"/>
    </row>
    <row r="31" spans="1:10" x14ac:dyDescent="0.2">
      <c r="A31" s="1161" t="s">
        <v>13</v>
      </c>
      <c r="B31" s="1161"/>
      <c r="C31" s="1161"/>
      <c r="D31" s="1161"/>
      <c r="E31" s="1161"/>
      <c r="F31" s="1161"/>
      <c r="G31" s="1161"/>
      <c r="H31" s="1161"/>
      <c r="I31" s="1161"/>
      <c r="J31" s="1161"/>
    </row>
    <row r="32" spans="1:10" ht="12.75" customHeight="1" x14ac:dyDescent="0.2">
      <c r="A32" s="1161" t="s">
        <v>19</v>
      </c>
      <c r="B32" s="1161"/>
      <c r="C32" s="1161"/>
      <c r="D32" s="1161"/>
      <c r="E32" s="1161"/>
      <c r="F32" s="1161"/>
      <c r="G32" s="1161"/>
      <c r="H32" s="1161"/>
      <c r="I32" s="1161"/>
      <c r="J32" s="1161"/>
    </row>
    <row r="33" spans="1:10" ht="12.75" customHeight="1" x14ac:dyDescent="0.2">
      <c r="A33" s="11"/>
      <c r="B33" s="11"/>
      <c r="C33" s="11"/>
      <c r="D33" s="12"/>
      <c r="E33" s="11"/>
      <c r="F33" s="12"/>
      <c r="G33" s="12"/>
      <c r="H33" s="1037" t="s">
        <v>84</v>
      </c>
      <c r="I33" s="1037"/>
      <c r="J33" s="1037"/>
    </row>
  </sheetData>
  <mergeCells count="15">
    <mergeCell ref="G8:J8"/>
    <mergeCell ref="A32:J32"/>
    <mergeCell ref="I30:J30"/>
    <mergeCell ref="A31:J31"/>
    <mergeCell ref="H33:J33"/>
    <mergeCell ref="A8:A9"/>
    <mergeCell ref="B8:B9"/>
    <mergeCell ref="C8:F8"/>
    <mergeCell ref="C11:J24"/>
    <mergeCell ref="E2:I2"/>
    <mergeCell ref="A3:J3"/>
    <mergeCell ref="A4:J4"/>
    <mergeCell ref="A5:J5"/>
    <mergeCell ref="A7:C7"/>
    <mergeCell ref="I7:J7"/>
  </mergeCells>
  <printOptions horizontalCentered="1"/>
  <pageMargins left="0.41" right="0.51" top="0.42" bottom="0.38" header="0.2" footer="0.2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39997558519241921"/>
    <pageSetUpPr fitToPage="1"/>
  </sheetPr>
  <dimension ref="A1:R32"/>
  <sheetViews>
    <sheetView view="pageBreakPreview" topLeftCell="A12" zoomScaleSheetLayoutView="100" workbookViewId="0">
      <selection activeCell="I32" sqref="I32"/>
    </sheetView>
  </sheetViews>
  <sheetFormatPr defaultRowHeight="12.75" x14ac:dyDescent="0.2"/>
  <cols>
    <col min="1" max="1" width="5.5703125" style="12" customWidth="1"/>
    <col min="2" max="2" width="12.42578125" style="12" customWidth="1"/>
    <col min="3" max="3" width="10.5703125" style="12" customWidth="1"/>
    <col min="4" max="4" width="9.85546875" style="12" customWidth="1"/>
    <col min="5" max="5" width="8.7109375" style="12" customWidth="1"/>
    <col min="6" max="6" width="10.85546875" style="12" customWidth="1"/>
    <col min="7" max="7" width="15.85546875" style="12" customWidth="1"/>
    <col min="8" max="8" width="12.42578125" style="12" customWidth="1"/>
    <col min="9" max="9" width="12.140625" style="12" customWidth="1"/>
    <col min="10" max="10" width="9" style="12" customWidth="1"/>
    <col min="11" max="11" width="12" style="12" customWidth="1"/>
    <col min="12" max="12" width="14.140625" style="12" customWidth="1"/>
    <col min="13" max="14" width="9.140625" style="12"/>
    <col min="15" max="15" width="10.5703125" style="12" bestFit="1" customWidth="1"/>
    <col min="16" max="16384" width="9.140625" style="12"/>
  </cols>
  <sheetData>
    <row r="1" spans="1:18" customFormat="1" ht="15" x14ac:dyDescent="0.2">
      <c r="D1" s="24"/>
      <c r="E1" s="24"/>
      <c r="F1" s="24"/>
      <c r="G1" s="24"/>
      <c r="H1" s="24"/>
      <c r="I1" s="24"/>
      <c r="J1" s="24"/>
      <c r="K1" s="24"/>
      <c r="L1" s="1176" t="s">
        <v>64</v>
      </c>
      <c r="M1" s="1176"/>
      <c r="N1" s="32"/>
      <c r="O1" s="32"/>
    </row>
    <row r="2" spans="1:18" customFormat="1" ht="15" x14ac:dyDescent="0.2">
      <c r="A2" s="1152" t="s">
        <v>0</v>
      </c>
      <c r="B2" s="1152"/>
      <c r="C2" s="1152"/>
      <c r="D2" s="1152"/>
      <c r="E2" s="1152"/>
      <c r="F2" s="1152"/>
      <c r="G2" s="1152"/>
      <c r="H2" s="1152"/>
      <c r="I2" s="1152"/>
      <c r="J2" s="1152"/>
      <c r="K2" s="1152"/>
      <c r="L2" s="1152"/>
      <c r="M2" s="34"/>
      <c r="N2" s="34"/>
      <c r="O2" s="34"/>
    </row>
    <row r="3" spans="1:18" customFormat="1" ht="15.75" x14ac:dyDescent="0.25">
      <c r="A3" s="1131" t="s">
        <v>788</v>
      </c>
      <c r="B3" s="1131"/>
      <c r="C3" s="1131"/>
      <c r="D3" s="1131"/>
      <c r="E3" s="1131"/>
      <c r="F3" s="1131"/>
      <c r="G3" s="1131"/>
      <c r="H3" s="1131"/>
      <c r="I3" s="1131"/>
      <c r="J3" s="1131"/>
      <c r="K3" s="1131"/>
      <c r="L3" s="1131"/>
      <c r="M3" s="69"/>
      <c r="N3" s="69"/>
      <c r="O3" s="69"/>
      <c r="P3" s="69"/>
      <c r="Q3" s="69"/>
    </row>
    <row r="4" spans="1:18" ht="19.5" customHeight="1" x14ac:dyDescent="0.25">
      <c r="A4" s="1160" t="s">
        <v>806</v>
      </c>
      <c r="B4" s="1160"/>
      <c r="C4" s="1160"/>
      <c r="D4" s="1160"/>
      <c r="E4" s="1160"/>
      <c r="F4" s="1160"/>
      <c r="G4" s="1160"/>
      <c r="H4" s="1160"/>
      <c r="I4" s="1160"/>
      <c r="J4" s="1160"/>
      <c r="K4" s="1160"/>
      <c r="L4" s="1160"/>
    </row>
    <row r="5" spans="1:18" x14ac:dyDescent="0.2">
      <c r="A5" s="17"/>
      <c r="B5" s="17"/>
      <c r="C5" s="17"/>
      <c r="D5" s="17"/>
      <c r="E5" s="17"/>
      <c r="F5" s="17"/>
      <c r="G5" s="17"/>
      <c r="H5" s="17"/>
      <c r="I5" s="17"/>
      <c r="J5" s="17"/>
      <c r="K5" s="17"/>
      <c r="L5" s="187" t="s">
        <v>20</v>
      </c>
    </row>
    <row r="6" spans="1:18" x14ac:dyDescent="0.2">
      <c r="A6" s="1037" t="s">
        <v>456</v>
      </c>
      <c r="B6" s="1037"/>
      <c r="C6" s="1037"/>
      <c r="G6" s="187"/>
      <c r="H6" s="187"/>
      <c r="I6" s="187"/>
      <c r="J6" s="187"/>
      <c r="K6" s="187"/>
      <c r="L6" s="187"/>
    </row>
    <row r="7" spans="1:18" x14ac:dyDescent="0.2">
      <c r="A7" s="11"/>
      <c r="F7" s="13"/>
      <c r="G7" s="66"/>
      <c r="H7" s="66"/>
      <c r="I7" s="1200" t="s">
        <v>801</v>
      </c>
      <c r="J7" s="1200"/>
      <c r="K7" s="1200"/>
      <c r="L7" s="1200"/>
    </row>
    <row r="8" spans="1:18" s="11" customFormat="1" x14ac:dyDescent="0.2">
      <c r="A8" s="1145" t="s">
        <v>2</v>
      </c>
      <c r="B8" s="1145" t="s">
        <v>3</v>
      </c>
      <c r="C8" s="1165" t="s">
        <v>21</v>
      </c>
      <c r="D8" s="1166"/>
      <c r="E8" s="1166"/>
      <c r="F8" s="1166"/>
      <c r="G8" s="1166"/>
      <c r="H8" s="1145" t="s">
        <v>42</v>
      </c>
      <c r="I8" s="1145"/>
      <c r="J8" s="1145"/>
      <c r="K8" s="1145"/>
      <c r="L8" s="1145"/>
      <c r="Q8" s="20"/>
      <c r="R8" s="20"/>
    </row>
    <row r="9" spans="1:18" s="11" customFormat="1" ht="77.45" customHeight="1" x14ac:dyDescent="0.2">
      <c r="A9" s="1145"/>
      <c r="B9" s="1145"/>
      <c r="C9" s="773" t="s">
        <v>807</v>
      </c>
      <c r="D9" s="773" t="s">
        <v>808</v>
      </c>
      <c r="E9" s="189" t="s">
        <v>71</v>
      </c>
      <c r="F9" s="189" t="s">
        <v>72</v>
      </c>
      <c r="G9" s="667" t="s">
        <v>743</v>
      </c>
      <c r="H9" s="773" t="s">
        <v>807</v>
      </c>
      <c r="I9" s="773" t="s">
        <v>808</v>
      </c>
      <c r="J9" s="189" t="s">
        <v>71</v>
      </c>
      <c r="K9" s="189" t="s">
        <v>72</v>
      </c>
      <c r="L9" s="667" t="s">
        <v>744</v>
      </c>
    </row>
    <row r="10" spans="1:18" s="11" customFormat="1" x14ac:dyDescent="0.2">
      <c r="A10" s="189">
        <v>1</v>
      </c>
      <c r="B10" s="189">
        <v>2</v>
      </c>
      <c r="C10" s="189">
        <v>3</v>
      </c>
      <c r="D10" s="189">
        <v>4</v>
      </c>
      <c r="E10" s="189">
        <v>5</v>
      </c>
      <c r="F10" s="189">
        <v>6</v>
      </c>
      <c r="G10" s="189">
        <v>7</v>
      </c>
      <c r="H10" s="189">
        <v>8</v>
      </c>
      <c r="I10" s="189">
        <v>9</v>
      </c>
      <c r="J10" s="189">
        <v>10</v>
      </c>
      <c r="K10" s="189">
        <v>11</v>
      </c>
      <c r="L10" s="189">
        <v>12</v>
      </c>
    </row>
    <row r="11" spans="1:18" ht="20.100000000000001" customHeight="1" x14ac:dyDescent="0.2">
      <c r="A11" s="188">
        <v>1</v>
      </c>
      <c r="B11" s="219" t="s">
        <v>386</v>
      </c>
      <c r="C11" s="90">
        <v>563.25</v>
      </c>
      <c r="D11" s="90">
        <v>33.06</v>
      </c>
      <c r="E11" s="90">
        <v>505.57</v>
      </c>
      <c r="F11" s="90">
        <v>524.88</v>
      </c>
      <c r="G11" s="197">
        <f>D11+E11-F11</f>
        <v>13.75</v>
      </c>
      <c r="H11" s="1191" t="s">
        <v>399</v>
      </c>
      <c r="I11" s="1192"/>
      <c r="J11" s="1192"/>
      <c r="K11" s="1192"/>
      <c r="L11" s="1193"/>
    </row>
    <row r="12" spans="1:18" ht="20.100000000000001" customHeight="1" x14ac:dyDescent="0.2">
      <c r="A12" s="188">
        <v>2</v>
      </c>
      <c r="B12" s="219" t="s">
        <v>387</v>
      </c>
      <c r="C12" s="90">
        <v>279.77</v>
      </c>
      <c r="D12" s="90">
        <v>78.819999999999993</v>
      </c>
      <c r="E12" s="90">
        <v>252.78</v>
      </c>
      <c r="F12" s="197">
        <v>327.64</v>
      </c>
      <c r="G12" s="197">
        <f t="shared" ref="G12:G22" si="0">D12+E12-F12</f>
        <v>3.9600000000000364</v>
      </c>
      <c r="H12" s="1194"/>
      <c r="I12" s="1195"/>
      <c r="J12" s="1195"/>
      <c r="K12" s="1195"/>
      <c r="L12" s="1196"/>
    </row>
    <row r="13" spans="1:18" ht="20.100000000000001" customHeight="1" x14ac:dyDescent="0.2">
      <c r="A13" s="188">
        <v>3</v>
      </c>
      <c r="B13" s="219" t="s">
        <v>388</v>
      </c>
      <c r="C13" s="90">
        <v>454.91</v>
      </c>
      <c r="D13" s="90">
        <v>47.23</v>
      </c>
      <c r="E13" s="90">
        <v>419.68</v>
      </c>
      <c r="F13" s="90">
        <v>459.09</v>
      </c>
      <c r="G13" s="197">
        <f t="shared" si="0"/>
        <v>7.82000000000005</v>
      </c>
      <c r="H13" s="1194"/>
      <c r="I13" s="1195"/>
      <c r="J13" s="1195"/>
      <c r="K13" s="1195"/>
      <c r="L13" s="1196"/>
    </row>
    <row r="14" spans="1:18" ht="20.100000000000001" customHeight="1" x14ac:dyDescent="0.2">
      <c r="A14" s="188">
        <v>4</v>
      </c>
      <c r="B14" s="219" t="s">
        <v>389</v>
      </c>
      <c r="C14" s="90">
        <v>273.05</v>
      </c>
      <c r="D14" s="90">
        <v>47.66</v>
      </c>
      <c r="E14" s="90">
        <v>245.84</v>
      </c>
      <c r="F14" s="90">
        <v>280.44</v>
      </c>
      <c r="G14" s="197">
        <f t="shared" si="0"/>
        <v>13.060000000000002</v>
      </c>
      <c r="H14" s="1194"/>
      <c r="I14" s="1195"/>
      <c r="J14" s="1195"/>
      <c r="K14" s="1195"/>
      <c r="L14" s="1196"/>
    </row>
    <row r="15" spans="1:18" ht="20.100000000000001" customHeight="1" x14ac:dyDescent="0.2">
      <c r="A15" s="188">
        <v>5</v>
      </c>
      <c r="B15" s="221" t="s">
        <v>390</v>
      </c>
      <c r="C15" s="90">
        <v>869.83</v>
      </c>
      <c r="D15" s="90">
        <v>36.619999999999997</v>
      </c>
      <c r="E15" s="90">
        <v>737.17</v>
      </c>
      <c r="F15" s="90">
        <v>744.05</v>
      </c>
      <c r="G15" s="197">
        <f t="shared" si="0"/>
        <v>29.740000000000009</v>
      </c>
      <c r="H15" s="1194"/>
      <c r="I15" s="1195"/>
      <c r="J15" s="1195"/>
      <c r="K15" s="1195"/>
      <c r="L15" s="1196"/>
    </row>
    <row r="16" spans="1:18" ht="20.100000000000001" customHeight="1" x14ac:dyDescent="0.2">
      <c r="A16" s="188">
        <v>6</v>
      </c>
      <c r="B16" s="219" t="s">
        <v>391</v>
      </c>
      <c r="C16" s="90">
        <v>1625.33</v>
      </c>
      <c r="D16" s="90">
        <v>255.11</v>
      </c>
      <c r="E16" s="90">
        <v>1371.26</v>
      </c>
      <c r="F16" s="90">
        <v>1598.73</v>
      </c>
      <c r="G16" s="197">
        <f t="shared" si="0"/>
        <v>27.639999999999873</v>
      </c>
      <c r="H16" s="1194"/>
      <c r="I16" s="1195"/>
      <c r="J16" s="1195"/>
      <c r="K16" s="1195"/>
      <c r="L16" s="1196"/>
    </row>
    <row r="17" spans="1:16" ht="20.100000000000001" customHeight="1" x14ac:dyDescent="0.2">
      <c r="A17" s="188">
        <v>7</v>
      </c>
      <c r="B17" s="221" t="s">
        <v>392</v>
      </c>
      <c r="C17" s="197">
        <v>768.8</v>
      </c>
      <c r="D17" s="90">
        <v>-4.7300000000000004</v>
      </c>
      <c r="E17" s="90">
        <v>659.66</v>
      </c>
      <c r="F17" s="90">
        <v>653.17999999999995</v>
      </c>
      <c r="G17" s="197">
        <f t="shared" si="0"/>
        <v>1.75</v>
      </c>
      <c r="H17" s="1194"/>
      <c r="I17" s="1195"/>
      <c r="J17" s="1195"/>
      <c r="K17" s="1195"/>
      <c r="L17" s="1196"/>
    </row>
    <row r="18" spans="1:16" ht="20.100000000000001" customHeight="1" x14ac:dyDescent="0.2">
      <c r="A18" s="188">
        <v>8</v>
      </c>
      <c r="B18" s="219" t="s">
        <v>393</v>
      </c>
      <c r="C18" s="90">
        <v>568.86</v>
      </c>
      <c r="D18" s="90">
        <v>81.66</v>
      </c>
      <c r="E18" s="90">
        <v>498.84</v>
      </c>
      <c r="F18" s="90">
        <v>577.42999999999995</v>
      </c>
      <c r="G18" s="197">
        <f t="shared" si="0"/>
        <v>3.07000000000005</v>
      </c>
      <c r="H18" s="1194"/>
      <c r="I18" s="1195"/>
      <c r="J18" s="1195"/>
      <c r="K18" s="1195"/>
      <c r="L18" s="1196"/>
    </row>
    <row r="19" spans="1:16" ht="20.100000000000001" customHeight="1" x14ac:dyDescent="0.2">
      <c r="A19" s="188">
        <v>9</v>
      </c>
      <c r="B19" s="219" t="s">
        <v>394</v>
      </c>
      <c r="C19" s="90">
        <v>406.03</v>
      </c>
      <c r="D19" s="90">
        <v>56.97</v>
      </c>
      <c r="E19" s="90">
        <v>392.68</v>
      </c>
      <c r="F19" s="90">
        <v>435.47</v>
      </c>
      <c r="G19" s="197">
        <f t="shared" si="0"/>
        <v>14.17999999999995</v>
      </c>
      <c r="H19" s="1194"/>
      <c r="I19" s="1195"/>
      <c r="J19" s="1195"/>
      <c r="K19" s="1195"/>
      <c r="L19" s="1196"/>
    </row>
    <row r="20" spans="1:16" ht="20.100000000000001" customHeight="1" x14ac:dyDescent="0.2">
      <c r="A20" s="188">
        <v>10</v>
      </c>
      <c r="B20" s="219" t="s">
        <v>395</v>
      </c>
      <c r="C20" s="90">
        <v>288.3</v>
      </c>
      <c r="D20" s="90">
        <v>50.03</v>
      </c>
      <c r="E20" s="90">
        <v>258.58999999999997</v>
      </c>
      <c r="F20" s="90">
        <v>267.47000000000003</v>
      </c>
      <c r="G20" s="197">
        <f t="shared" si="0"/>
        <v>41.149999999999977</v>
      </c>
      <c r="H20" s="1194"/>
      <c r="I20" s="1195"/>
      <c r="J20" s="1195"/>
      <c r="K20" s="1195"/>
      <c r="L20" s="1196"/>
      <c r="M20" s="721"/>
      <c r="N20" s="721"/>
      <c r="O20" s="721"/>
      <c r="P20" s="721"/>
    </row>
    <row r="21" spans="1:16" ht="20.100000000000001" customHeight="1" x14ac:dyDescent="0.2">
      <c r="A21" s="188">
        <v>11</v>
      </c>
      <c r="B21" s="219" t="s">
        <v>396</v>
      </c>
      <c r="C21" s="90">
        <v>666.7</v>
      </c>
      <c r="D21" s="90">
        <v>208.54</v>
      </c>
      <c r="E21" s="90">
        <v>589.85</v>
      </c>
      <c r="F21" s="90">
        <v>784.81</v>
      </c>
      <c r="G21" s="197">
        <f t="shared" si="0"/>
        <v>13.580000000000041</v>
      </c>
      <c r="H21" s="1194"/>
      <c r="I21" s="1195"/>
      <c r="J21" s="1195"/>
      <c r="K21" s="1195"/>
      <c r="L21" s="1196"/>
      <c r="M21" s="721"/>
      <c r="N21" s="721"/>
      <c r="O21" s="721"/>
      <c r="P21" s="721"/>
    </row>
    <row r="22" spans="1:16" ht="20.100000000000001" customHeight="1" x14ac:dyDescent="0.2">
      <c r="A22" s="188">
        <v>12</v>
      </c>
      <c r="B22" s="219" t="s">
        <v>397</v>
      </c>
      <c r="C22" s="90">
        <v>1419.51</v>
      </c>
      <c r="D22" s="90">
        <v>147.37</v>
      </c>
      <c r="E22" s="90">
        <v>1142.82</v>
      </c>
      <c r="F22" s="90">
        <v>1280.18</v>
      </c>
      <c r="G22" s="197">
        <f t="shared" si="0"/>
        <v>10.009999999999991</v>
      </c>
      <c r="H22" s="1194"/>
      <c r="I22" s="1195"/>
      <c r="J22" s="1195"/>
      <c r="K22" s="1195"/>
      <c r="L22" s="1196"/>
      <c r="M22" s="721"/>
      <c r="N22" s="721"/>
      <c r="O22" s="721"/>
      <c r="P22" s="721"/>
    </row>
    <row r="23" spans="1:16" ht="20.100000000000001" customHeight="1" x14ac:dyDescent="0.2">
      <c r="A23" s="188">
        <v>13</v>
      </c>
      <c r="B23" s="219" t="s">
        <v>398</v>
      </c>
      <c r="C23" s="90">
        <v>409.3</v>
      </c>
      <c r="D23" s="90">
        <v>109.58</v>
      </c>
      <c r="E23" s="90">
        <v>370.98</v>
      </c>
      <c r="F23" s="90">
        <v>475.67</v>
      </c>
      <c r="G23" s="197">
        <f>D23+E23-F23</f>
        <v>4.8899999999999864</v>
      </c>
      <c r="H23" s="1194"/>
      <c r="I23" s="1195"/>
      <c r="J23" s="1195"/>
      <c r="K23" s="1195"/>
      <c r="L23" s="1196"/>
      <c r="M23" s="721"/>
      <c r="N23" s="721"/>
      <c r="O23" s="721"/>
      <c r="P23" s="721"/>
    </row>
    <row r="24" spans="1:16" ht="20.100000000000001" customHeight="1" x14ac:dyDescent="0.2">
      <c r="A24" s="188" t="s">
        <v>18</v>
      </c>
      <c r="B24" s="212"/>
      <c r="C24" s="198">
        <f>SUM(C11:C23)</f>
        <v>8593.64</v>
      </c>
      <c r="D24" s="198">
        <f>SUM(D11:D23)</f>
        <v>1147.9199999999998</v>
      </c>
      <c r="E24" s="198">
        <f>SUM(E11:E23)</f>
        <v>7445.7200000000012</v>
      </c>
      <c r="F24" s="198">
        <f>SUM(F11:F23)</f>
        <v>8409.0400000000009</v>
      </c>
      <c r="G24" s="198">
        <f>(D24+E24-F24)-0.01</f>
        <v>184.59000000000037</v>
      </c>
      <c r="H24" s="1197"/>
      <c r="I24" s="1198"/>
      <c r="J24" s="1198"/>
      <c r="K24" s="1198"/>
      <c r="L24" s="1199"/>
      <c r="M24" s="721"/>
      <c r="N24" s="721"/>
      <c r="O24" s="721"/>
      <c r="P24" s="721"/>
    </row>
    <row r="25" spans="1:16" ht="15.75" customHeight="1" x14ac:dyDescent="0.2">
      <c r="A25" s="15" t="s">
        <v>168</v>
      </c>
      <c r="B25" s="16"/>
      <c r="C25" s="16"/>
      <c r="D25" s="16"/>
      <c r="E25" s="16"/>
      <c r="F25" s="16"/>
      <c r="G25" s="16"/>
      <c r="H25" s="16"/>
      <c r="I25" s="16"/>
      <c r="J25" s="11"/>
      <c r="K25" s="11"/>
      <c r="L25" s="11"/>
      <c r="M25" s="721"/>
      <c r="N25" s="721"/>
      <c r="O25" s="721"/>
      <c r="P25" s="721"/>
    </row>
    <row r="26" spans="1:16" x14ac:dyDescent="0.2">
      <c r="A26" s="1161" t="s">
        <v>12</v>
      </c>
      <c r="B26" s="1161"/>
      <c r="C26" s="1161"/>
      <c r="D26" s="1161"/>
      <c r="E26" s="1161"/>
      <c r="F26" s="1161"/>
      <c r="G26" s="1161"/>
      <c r="H26" s="1161"/>
      <c r="I26" s="1161"/>
      <c r="J26" s="1161"/>
      <c r="K26" s="1161"/>
      <c r="L26" s="1161"/>
    </row>
    <row r="27" spans="1:16" x14ac:dyDescent="0.2">
      <c r="A27" s="1161" t="s">
        <v>13</v>
      </c>
      <c r="B27" s="1161"/>
      <c r="C27" s="1161"/>
      <c r="D27" s="1161"/>
      <c r="E27" s="1161"/>
      <c r="F27" s="1161"/>
      <c r="G27" s="1161"/>
      <c r="H27" s="1161"/>
      <c r="I27" s="1161"/>
      <c r="J27" s="1161"/>
      <c r="K27" s="1161"/>
      <c r="L27" s="1161"/>
    </row>
    <row r="28" spans="1:16" x14ac:dyDescent="0.2">
      <c r="A28" s="1161" t="s">
        <v>19</v>
      </c>
      <c r="B28" s="1161"/>
      <c r="C28" s="1161"/>
      <c r="D28" s="1161"/>
      <c r="E28" s="1161"/>
      <c r="F28" s="1161"/>
      <c r="G28" s="1161"/>
      <c r="H28" s="1161"/>
      <c r="I28" s="1161"/>
      <c r="J28" s="1161"/>
      <c r="K28" s="1161"/>
      <c r="L28" s="1161"/>
    </row>
    <row r="29" spans="1:16" x14ac:dyDescent="0.2">
      <c r="A29" s="11" t="s">
        <v>22</v>
      </c>
      <c r="B29" s="11"/>
      <c r="C29" s="977">
        <f>'T6A_FG_Upy_Utlsn '!C24</f>
        <v>9160.2799999999988</v>
      </c>
      <c r="D29" s="11"/>
      <c r="E29" s="11"/>
      <c r="F29" s="977">
        <f>'T6A_FG_Upy_Utlsn '!F24</f>
        <v>8968.17</v>
      </c>
      <c r="J29" s="1075" t="s">
        <v>84</v>
      </c>
      <c r="K29" s="1075"/>
      <c r="L29" s="1075"/>
    </row>
    <row r="30" spans="1:16" x14ac:dyDescent="0.2">
      <c r="A30" s="11"/>
      <c r="C30" s="977">
        <f>C24+C29</f>
        <v>17753.919999999998</v>
      </c>
      <c r="F30" s="977">
        <f>F24+F29</f>
        <v>17377.21</v>
      </c>
    </row>
    <row r="31" spans="1:16" x14ac:dyDescent="0.2">
      <c r="A31" s="1157"/>
      <c r="B31" s="1157"/>
      <c r="C31" s="1157"/>
      <c r="D31" s="1157"/>
      <c r="E31" s="1157"/>
      <c r="F31" s="1157"/>
      <c r="G31" s="1157"/>
      <c r="H31" s="1157"/>
      <c r="I31" s="1157"/>
      <c r="J31" s="1157"/>
      <c r="K31" s="1157"/>
      <c r="L31" s="1157"/>
    </row>
    <row r="32" spans="1:16" x14ac:dyDescent="0.2">
      <c r="F32" s="974">
        <f>F30/C30</f>
        <v>0.97878158739027776</v>
      </c>
    </row>
  </sheetData>
  <mergeCells count="16">
    <mergeCell ref="L1:M1"/>
    <mergeCell ref="A3:L3"/>
    <mergeCell ref="A2:L2"/>
    <mergeCell ref="A4:L4"/>
    <mergeCell ref="I7:L7"/>
    <mergeCell ref="A6:C6"/>
    <mergeCell ref="A28:L28"/>
    <mergeCell ref="A31:L31"/>
    <mergeCell ref="A8:A9"/>
    <mergeCell ref="B8:B9"/>
    <mergeCell ref="A26:L26"/>
    <mergeCell ref="J29:L29"/>
    <mergeCell ref="A27:L27"/>
    <mergeCell ref="C8:G8"/>
    <mergeCell ref="H8:L8"/>
    <mergeCell ref="H11:L24"/>
  </mergeCells>
  <phoneticPr fontId="0" type="noConversion"/>
  <printOptions horizontalCentered="1"/>
  <pageMargins left="0.70866141732283472" right="0.70866141732283472" top="0.23622047244094491" bottom="0" header="0.31496062992125984" footer="0.31496062992125984"/>
  <pageSetup paperSize="9" orientation="landscape" r:id="rId1"/>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5" tint="0.39997558519241921"/>
    <pageSetUpPr fitToPage="1"/>
  </sheetPr>
  <dimension ref="A1:G68"/>
  <sheetViews>
    <sheetView view="pageBreakPreview" topLeftCell="A43" zoomScale="120" zoomScaleNormal="100" zoomScaleSheetLayoutView="120" workbookViewId="0">
      <selection activeCell="C33" sqref="C33"/>
    </sheetView>
  </sheetViews>
  <sheetFormatPr defaultRowHeight="12.75" x14ac:dyDescent="0.2"/>
  <cols>
    <col min="1" max="1" width="8.7109375" style="643" customWidth="1"/>
    <col min="2" max="2" width="11.7109375" style="643" customWidth="1"/>
    <col min="3" max="3" width="114.5703125" style="643" customWidth="1"/>
    <col min="4" max="256" width="9.140625" style="643"/>
    <col min="257" max="257" width="8.7109375" style="643" customWidth="1"/>
    <col min="258" max="258" width="11.7109375" style="643" customWidth="1"/>
    <col min="259" max="259" width="114.5703125" style="643" customWidth="1"/>
    <col min="260" max="512" width="9.140625" style="643"/>
    <col min="513" max="513" width="8.7109375" style="643" customWidth="1"/>
    <col min="514" max="514" width="11.7109375" style="643" customWidth="1"/>
    <col min="515" max="515" width="114.5703125" style="643" customWidth="1"/>
    <col min="516" max="768" width="9.140625" style="643"/>
    <col min="769" max="769" width="8.7109375" style="643" customWidth="1"/>
    <col min="770" max="770" width="11.7109375" style="643" customWidth="1"/>
    <col min="771" max="771" width="114.5703125" style="643" customWidth="1"/>
    <col min="772" max="1024" width="9.140625" style="643"/>
    <col min="1025" max="1025" width="8.7109375" style="643" customWidth="1"/>
    <col min="1026" max="1026" width="11.7109375" style="643" customWidth="1"/>
    <col min="1027" max="1027" width="114.5703125" style="643" customWidth="1"/>
    <col min="1028" max="1280" width="9.140625" style="643"/>
    <col min="1281" max="1281" width="8.7109375" style="643" customWidth="1"/>
    <col min="1282" max="1282" width="11.7109375" style="643" customWidth="1"/>
    <col min="1283" max="1283" width="114.5703125" style="643" customWidth="1"/>
    <col min="1284" max="1536" width="9.140625" style="643"/>
    <col min="1537" max="1537" width="8.7109375" style="643" customWidth="1"/>
    <col min="1538" max="1538" width="11.7109375" style="643" customWidth="1"/>
    <col min="1539" max="1539" width="114.5703125" style="643" customWidth="1"/>
    <col min="1540" max="1792" width="9.140625" style="643"/>
    <col min="1793" max="1793" width="8.7109375" style="643" customWidth="1"/>
    <col min="1794" max="1794" width="11.7109375" style="643" customWidth="1"/>
    <col min="1795" max="1795" width="114.5703125" style="643" customWidth="1"/>
    <col min="1796" max="2048" width="9.140625" style="643"/>
    <col min="2049" max="2049" width="8.7109375" style="643" customWidth="1"/>
    <col min="2050" max="2050" width="11.7109375" style="643" customWidth="1"/>
    <col min="2051" max="2051" width="114.5703125" style="643" customWidth="1"/>
    <col min="2052" max="2304" width="9.140625" style="643"/>
    <col min="2305" max="2305" width="8.7109375" style="643" customWidth="1"/>
    <col min="2306" max="2306" width="11.7109375" style="643" customWidth="1"/>
    <col min="2307" max="2307" width="114.5703125" style="643" customWidth="1"/>
    <col min="2308" max="2560" width="9.140625" style="643"/>
    <col min="2561" max="2561" width="8.7109375" style="643" customWidth="1"/>
    <col min="2562" max="2562" width="11.7109375" style="643" customWidth="1"/>
    <col min="2563" max="2563" width="114.5703125" style="643" customWidth="1"/>
    <col min="2564" max="2816" width="9.140625" style="643"/>
    <col min="2817" max="2817" width="8.7109375" style="643" customWidth="1"/>
    <col min="2818" max="2818" width="11.7109375" style="643" customWidth="1"/>
    <col min="2819" max="2819" width="114.5703125" style="643" customWidth="1"/>
    <col min="2820" max="3072" width="9.140625" style="643"/>
    <col min="3073" max="3073" width="8.7109375" style="643" customWidth="1"/>
    <col min="3074" max="3074" width="11.7109375" style="643" customWidth="1"/>
    <col min="3075" max="3075" width="114.5703125" style="643" customWidth="1"/>
    <col min="3076" max="3328" width="9.140625" style="643"/>
    <col min="3329" max="3329" width="8.7109375" style="643" customWidth="1"/>
    <col min="3330" max="3330" width="11.7109375" style="643" customWidth="1"/>
    <col min="3331" max="3331" width="114.5703125" style="643" customWidth="1"/>
    <col min="3332" max="3584" width="9.140625" style="643"/>
    <col min="3585" max="3585" width="8.7109375" style="643" customWidth="1"/>
    <col min="3586" max="3586" width="11.7109375" style="643" customWidth="1"/>
    <col min="3587" max="3587" width="114.5703125" style="643" customWidth="1"/>
    <col min="3588" max="3840" width="9.140625" style="643"/>
    <col min="3841" max="3841" width="8.7109375" style="643" customWidth="1"/>
    <col min="3842" max="3842" width="11.7109375" style="643" customWidth="1"/>
    <col min="3843" max="3843" width="114.5703125" style="643" customWidth="1"/>
    <col min="3844" max="4096" width="9.140625" style="643"/>
    <col min="4097" max="4097" width="8.7109375" style="643" customWidth="1"/>
    <col min="4098" max="4098" width="11.7109375" style="643" customWidth="1"/>
    <col min="4099" max="4099" width="114.5703125" style="643" customWidth="1"/>
    <col min="4100" max="4352" width="9.140625" style="643"/>
    <col min="4353" max="4353" width="8.7109375" style="643" customWidth="1"/>
    <col min="4354" max="4354" width="11.7109375" style="643" customWidth="1"/>
    <col min="4355" max="4355" width="114.5703125" style="643" customWidth="1"/>
    <col min="4356" max="4608" width="9.140625" style="643"/>
    <col min="4609" max="4609" width="8.7109375" style="643" customWidth="1"/>
    <col min="4610" max="4610" width="11.7109375" style="643" customWidth="1"/>
    <col min="4611" max="4611" width="114.5703125" style="643" customWidth="1"/>
    <col min="4612" max="4864" width="9.140625" style="643"/>
    <col min="4865" max="4865" width="8.7109375" style="643" customWidth="1"/>
    <col min="4866" max="4866" width="11.7109375" style="643" customWidth="1"/>
    <col min="4867" max="4867" width="114.5703125" style="643" customWidth="1"/>
    <col min="4868" max="5120" width="9.140625" style="643"/>
    <col min="5121" max="5121" width="8.7109375" style="643" customWidth="1"/>
    <col min="5122" max="5122" width="11.7109375" style="643" customWidth="1"/>
    <col min="5123" max="5123" width="114.5703125" style="643" customWidth="1"/>
    <col min="5124" max="5376" width="9.140625" style="643"/>
    <col min="5377" max="5377" width="8.7109375" style="643" customWidth="1"/>
    <col min="5378" max="5378" width="11.7109375" style="643" customWidth="1"/>
    <col min="5379" max="5379" width="114.5703125" style="643" customWidth="1"/>
    <col min="5380" max="5632" width="9.140625" style="643"/>
    <col min="5633" max="5633" width="8.7109375" style="643" customWidth="1"/>
    <col min="5634" max="5634" width="11.7109375" style="643" customWidth="1"/>
    <col min="5635" max="5635" width="114.5703125" style="643" customWidth="1"/>
    <col min="5636" max="5888" width="9.140625" style="643"/>
    <col min="5889" max="5889" width="8.7109375" style="643" customWidth="1"/>
    <col min="5890" max="5890" width="11.7109375" style="643" customWidth="1"/>
    <col min="5891" max="5891" width="114.5703125" style="643" customWidth="1"/>
    <col min="5892" max="6144" width="9.140625" style="643"/>
    <col min="6145" max="6145" width="8.7109375" style="643" customWidth="1"/>
    <col min="6146" max="6146" width="11.7109375" style="643" customWidth="1"/>
    <col min="6147" max="6147" width="114.5703125" style="643" customWidth="1"/>
    <col min="6148" max="6400" width="9.140625" style="643"/>
    <col min="6401" max="6401" width="8.7109375" style="643" customWidth="1"/>
    <col min="6402" max="6402" width="11.7109375" style="643" customWidth="1"/>
    <col min="6403" max="6403" width="114.5703125" style="643" customWidth="1"/>
    <col min="6404" max="6656" width="9.140625" style="643"/>
    <col min="6657" max="6657" width="8.7109375" style="643" customWidth="1"/>
    <col min="6658" max="6658" width="11.7109375" style="643" customWidth="1"/>
    <col min="6659" max="6659" width="114.5703125" style="643" customWidth="1"/>
    <col min="6660" max="6912" width="9.140625" style="643"/>
    <col min="6913" max="6913" width="8.7109375" style="643" customWidth="1"/>
    <col min="6914" max="6914" width="11.7109375" style="643" customWidth="1"/>
    <col min="6915" max="6915" width="114.5703125" style="643" customWidth="1"/>
    <col min="6916" max="7168" width="9.140625" style="643"/>
    <col min="7169" max="7169" width="8.7109375" style="643" customWidth="1"/>
    <col min="7170" max="7170" width="11.7109375" style="643" customWidth="1"/>
    <col min="7171" max="7171" width="114.5703125" style="643" customWidth="1"/>
    <col min="7172" max="7424" width="9.140625" style="643"/>
    <col min="7425" max="7425" width="8.7109375" style="643" customWidth="1"/>
    <col min="7426" max="7426" width="11.7109375" style="643" customWidth="1"/>
    <col min="7427" max="7427" width="114.5703125" style="643" customWidth="1"/>
    <col min="7428" max="7680" width="9.140625" style="643"/>
    <col min="7681" max="7681" width="8.7109375" style="643" customWidth="1"/>
    <col min="7682" max="7682" width="11.7109375" style="643" customWidth="1"/>
    <col min="7683" max="7683" width="114.5703125" style="643" customWidth="1"/>
    <col min="7684" max="7936" width="9.140625" style="643"/>
    <col min="7937" max="7937" width="8.7109375" style="643" customWidth="1"/>
    <col min="7938" max="7938" width="11.7109375" style="643" customWidth="1"/>
    <col min="7939" max="7939" width="114.5703125" style="643" customWidth="1"/>
    <col min="7940" max="8192" width="9.140625" style="643"/>
    <col min="8193" max="8193" width="8.7109375" style="643" customWidth="1"/>
    <col min="8194" max="8194" width="11.7109375" style="643" customWidth="1"/>
    <col min="8195" max="8195" width="114.5703125" style="643" customWidth="1"/>
    <col min="8196" max="8448" width="9.140625" style="643"/>
    <col min="8449" max="8449" width="8.7109375" style="643" customWidth="1"/>
    <col min="8450" max="8450" width="11.7109375" style="643" customWidth="1"/>
    <col min="8451" max="8451" width="114.5703125" style="643" customWidth="1"/>
    <col min="8452" max="8704" width="9.140625" style="643"/>
    <col min="8705" max="8705" width="8.7109375" style="643" customWidth="1"/>
    <col min="8706" max="8706" width="11.7109375" style="643" customWidth="1"/>
    <col min="8707" max="8707" width="114.5703125" style="643" customWidth="1"/>
    <col min="8708" max="8960" width="9.140625" style="643"/>
    <col min="8961" max="8961" width="8.7109375" style="643" customWidth="1"/>
    <col min="8962" max="8962" width="11.7109375" style="643" customWidth="1"/>
    <col min="8963" max="8963" width="114.5703125" style="643" customWidth="1"/>
    <col min="8964" max="9216" width="9.140625" style="643"/>
    <col min="9217" max="9217" width="8.7109375" style="643" customWidth="1"/>
    <col min="9218" max="9218" width="11.7109375" style="643" customWidth="1"/>
    <col min="9219" max="9219" width="114.5703125" style="643" customWidth="1"/>
    <col min="9220" max="9472" width="9.140625" style="643"/>
    <col min="9473" max="9473" width="8.7109375" style="643" customWidth="1"/>
    <col min="9474" max="9474" width="11.7109375" style="643" customWidth="1"/>
    <col min="9475" max="9475" width="114.5703125" style="643" customWidth="1"/>
    <col min="9476" max="9728" width="9.140625" style="643"/>
    <col min="9729" max="9729" width="8.7109375" style="643" customWidth="1"/>
    <col min="9730" max="9730" width="11.7109375" style="643" customWidth="1"/>
    <col min="9731" max="9731" width="114.5703125" style="643" customWidth="1"/>
    <col min="9732" max="9984" width="9.140625" style="643"/>
    <col min="9985" max="9985" width="8.7109375" style="643" customWidth="1"/>
    <col min="9986" max="9986" width="11.7109375" style="643" customWidth="1"/>
    <col min="9987" max="9987" width="114.5703125" style="643" customWidth="1"/>
    <col min="9988" max="10240" width="9.140625" style="643"/>
    <col min="10241" max="10241" width="8.7109375" style="643" customWidth="1"/>
    <col min="10242" max="10242" width="11.7109375" style="643" customWidth="1"/>
    <col min="10243" max="10243" width="114.5703125" style="643" customWidth="1"/>
    <col min="10244" max="10496" width="9.140625" style="643"/>
    <col min="10497" max="10497" width="8.7109375" style="643" customWidth="1"/>
    <col min="10498" max="10498" width="11.7109375" style="643" customWidth="1"/>
    <col min="10499" max="10499" width="114.5703125" style="643" customWidth="1"/>
    <col min="10500" max="10752" width="9.140625" style="643"/>
    <col min="10753" max="10753" width="8.7109375" style="643" customWidth="1"/>
    <col min="10754" max="10754" width="11.7109375" style="643" customWidth="1"/>
    <col min="10755" max="10755" width="114.5703125" style="643" customWidth="1"/>
    <col min="10756" max="11008" width="9.140625" style="643"/>
    <col min="11009" max="11009" width="8.7109375" style="643" customWidth="1"/>
    <col min="11010" max="11010" width="11.7109375" style="643" customWidth="1"/>
    <col min="11011" max="11011" width="114.5703125" style="643" customWidth="1"/>
    <col min="11012" max="11264" width="9.140625" style="643"/>
    <col min="11265" max="11265" width="8.7109375" style="643" customWidth="1"/>
    <col min="11266" max="11266" width="11.7109375" style="643" customWidth="1"/>
    <col min="11267" max="11267" width="114.5703125" style="643" customWidth="1"/>
    <col min="11268" max="11520" width="9.140625" style="643"/>
    <col min="11521" max="11521" width="8.7109375" style="643" customWidth="1"/>
    <col min="11522" max="11522" width="11.7109375" style="643" customWidth="1"/>
    <col min="11523" max="11523" width="114.5703125" style="643" customWidth="1"/>
    <col min="11524" max="11776" width="9.140625" style="643"/>
    <col min="11777" max="11777" width="8.7109375" style="643" customWidth="1"/>
    <col min="11778" max="11778" width="11.7109375" style="643" customWidth="1"/>
    <col min="11779" max="11779" width="114.5703125" style="643" customWidth="1"/>
    <col min="11780" max="12032" width="9.140625" style="643"/>
    <col min="12033" max="12033" width="8.7109375" style="643" customWidth="1"/>
    <col min="12034" max="12034" width="11.7109375" style="643" customWidth="1"/>
    <col min="12035" max="12035" width="114.5703125" style="643" customWidth="1"/>
    <col min="12036" max="12288" width="9.140625" style="643"/>
    <col min="12289" max="12289" width="8.7109375" style="643" customWidth="1"/>
    <col min="12290" max="12290" width="11.7109375" style="643" customWidth="1"/>
    <col min="12291" max="12291" width="114.5703125" style="643" customWidth="1"/>
    <col min="12292" max="12544" width="9.140625" style="643"/>
    <col min="12545" max="12545" width="8.7109375" style="643" customWidth="1"/>
    <col min="12546" max="12546" width="11.7109375" style="643" customWidth="1"/>
    <col min="12547" max="12547" width="114.5703125" style="643" customWidth="1"/>
    <col min="12548" max="12800" width="9.140625" style="643"/>
    <col min="12801" max="12801" width="8.7109375" style="643" customWidth="1"/>
    <col min="12802" max="12802" width="11.7109375" style="643" customWidth="1"/>
    <col min="12803" max="12803" width="114.5703125" style="643" customWidth="1"/>
    <col min="12804" max="13056" width="9.140625" style="643"/>
    <col min="13057" max="13057" width="8.7109375" style="643" customWidth="1"/>
    <col min="13058" max="13058" width="11.7109375" style="643" customWidth="1"/>
    <col min="13059" max="13059" width="114.5703125" style="643" customWidth="1"/>
    <col min="13060" max="13312" width="9.140625" style="643"/>
    <col min="13313" max="13313" width="8.7109375" style="643" customWidth="1"/>
    <col min="13314" max="13314" width="11.7109375" style="643" customWidth="1"/>
    <col min="13315" max="13315" width="114.5703125" style="643" customWidth="1"/>
    <col min="13316" max="13568" width="9.140625" style="643"/>
    <col min="13569" max="13569" width="8.7109375" style="643" customWidth="1"/>
    <col min="13570" max="13570" width="11.7109375" style="643" customWidth="1"/>
    <col min="13571" max="13571" width="114.5703125" style="643" customWidth="1"/>
    <col min="13572" max="13824" width="9.140625" style="643"/>
    <col min="13825" max="13825" width="8.7109375" style="643" customWidth="1"/>
    <col min="13826" max="13826" width="11.7109375" style="643" customWidth="1"/>
    <col min="13827" max="13827" width="114.5703125" style="643" customWidth="1"/>
    <col min="13828" max="14080" width="9.140625" style="643"/>
    <col min="14081" max="14081" width="8.7109375" style="643" customWidth="1"/>
    <col min="14082" max="14082" width="11.7109375" style="643" customWidth="1"/>
    <col min="14083" max="14083" width="114.5703125" style="643" customWidth="1"/>
    <col min="14084" max="14336" width="9.140625" style="643"/>
    <col min="14337" max="14337" width="8.7109375" style="643" customWidth="1"/>
    <col min="14338" max="14338" width="11.7109375" style="643" customWidth="1"/>
    <col min="14339" max="14339" width="114.5703125" style="643" customWidth="1"/>
    <col min="14340" max="14592" width="9.140625" style="643"/>
    <col min="14593" max="14593" width="8.7109375" style="643" customWidth="1"/>
    <col min="14594" max="14594" width="11.7109375" style="643" customWidth="1"/>
    <col min="14595" max="14595" width="114.5703125" style="643" customWidth="1"/>
    <col min="14596" max="14848" width="9.140625" style="643"/>
    <col min="14849" max="14849" width="8.7109375" style="643" customWidth="1"/>
    <col min="14850" max="14850" width="11.7109375" style="643" customWidth="1"/>
    <col min="14851" max="14851" width="114.5703125" style="643" customWidth="1"/>
    <col min="14852" max="15104" width="9.140625" style="643"/>
    <col min="15105" max="15105" width="8.7109375" style="643" customWidth="1"/>
    <col min="15106" max="15106" width="11.7109375" style="643" customWidth="1"/>
    <col min="15107" max="15107" width="114.5703125" style="643" customWidth="1"/>
    <col min="15108" max="15360" width="9.140625" style="643"/>
    <col min="15361" max="15361" width="8.7109375" style="643" customWidth="1"/>
    <col min="15362" max="15362" width="11.7109375" style="643" customWidth="1"/>
    <col min="15363" max="15363" width="114.5703125" style="643" customWidth="1"/>
    <col min="15364" max="15616" width="9.140625" style="643"/>
    <col min="15617" max="15617" width="8.7109375" style="643" customWidth="1"/>
    <col min="15618" max="15618" width="11.7109375" style="643" customWidth="1"/>
    <col min="15619" max="15619" width="114.5703125" style="643" customWidth="1"/>
    <col min="15620" max="15872" width="9.140625" style="643"/>
    <col min="15873" max="15873" width="8.7109375" style="643" customWidth="1"/>
    <col min="15874" max="15874" width="11.7109375" style="643" customWidth="1"/>
    <col min="15875" max="15875" width="114.5703125" style="643" customWidth="1"/>
    <col min="15876" max="16128" width="9.140625" style="643"/>
    <col min="16129" max="16129" width="8.7109375" style="643" customWidth="1"/>
    <col min="16130" max="16130" width="11.7109375" style="643" customWidth="1"/>
    <col min="16131" max="16131" width="114.5703125" style="643" customWidth="1"/>
    <col min="16132" max="16384" width="9.140625" style="643"/>
  </cols>
  <sheetData>
    <row r="1" spans="1:7" ht="21.75" customHeight="1" x14ac:dyDescent="0.25">
      <c r="A1" s="1021" t="s">
        <v>917</v>
      </c>
      <c r="B1" s="1021"/>
      <c r="C1" s="1021"/>
      <c r="D1" s="1021"/>
      <c r="E1" s="847"/>
      <c r="F1" s="847"/>
      <c r="G1" s="847"/>
    </row>
    <row r="2" spans="1:7" x14ac:dyDescent="0.2">
      <c r="A2" s="838" t="s">
        <v>74</v>
      </c>
      <c r="B2" s="838" t="s">
        <v>918</v>
      </c>
      <c r="C2" s="838" t="s">
        <v>919</v>
      </c>
    </row>
    <row r="3" spans="1:7" x14ac:dyDescent="0.2">
      <c r="A3" s="840">
        <v>1</v>
      </c>
      <c r="B3" s="848" t="s">
        <v>920</v>
      </c>
      <c r="C3" s="848" t="s">
        <v>921</v>
      </c>
    </row>
    <row r="4" spans="1:7" x14ac:dyDescent="0.2">
      <c r="A4" s="840">
        <v>2</v>
      </c>
      <c r="B4" s="848" t="s">
        <v>922</v>
      </c>
      <c r="C4" s="848" t="s">
        <v>923</v>
      </c>
    </row>
    <row r="5" spans="1:7" x14ac:dyDescent="0.2">
      <c r="A5" s="840">
        <v>3</v>
      </c>
      <c r="B5" s="848" t="s">
        <v>924</v>
      </c>
      <c r="C5" s="848" t="s">
        <v>925</v>
      </c>
    </row>
    <row r="6" spans="1:7" x14ac:dyDescent="0.2">
      <c r="A6" s="840">
        <v>4</v>
      </c>
      <c r="B6" s="848" t="s">
        <v>926</v>
      </c>
      <c r="C6" s="848" t="s">
        <v>927</v>
      </c>
    </row>
    <row r="7" spans="1:7" x14ac:dyDescent="0.2">
      <c r="A7" s="840">
        <v>5</v>
      </c>
      <c r="B7" s="848" t="s">
        <v>928</v>
      </c>
      <c r="C7" s="848" t="s">
        <v>929</v>
      </c>
    </row>
    <row r="8" spans="1:7" x14ac:dyDescent="0.2">
      <c r="A8" s="840">
        <v>6</v>
      </c>
      <c r="B8" s="848" t="s">
        <v>930</v>
      </c>
      <c r="C8" s="848" t="s">
        <v>931</v>
      </c>
    </row>
    <row r="9" spans="1:7" x14ac:dyDescent="0.2">
      <c r="A9" s="840">
        <v>7</v>
      </c>
      <c r="B9" s="848" t="s">
        <v>932</v>
      </c>
      <c r="C9" s="848" t="s">
        <v>933</v>
      </c>
    </row>
    <row r="10" spans="1:7" x14ac:dyDescent="0.2">
      <c r="A10" s="840">
        <v>8</v>
      </c>
      <c r="B10" s="848" t="s">
        <v>934</v>
      </c>
      <c r="C10" s="848" t="s">
        <v>935</v>
      </c>
    </row>
    <row r="11" spans="1:7" x14ac:dyDescent="0.2">
      <c r="A11" s="840">
        <v>9</v>
      </c>
      <c r="B11" s="848" t="s">
        <v>936</v>
      </c>
      <c r="C11" s="848" t="s">
        <v>937</v>
      </c>
    </row>
    <row r="12" spans="1:7" x14ac:dyDescent="0.2">
      <c r="A12" s="840">
        <v>10</v>
      </c>
      <c r="B12" s="848" t="s">
        <v>938</v>
      </c>
      <c r="C12" s="848" t="s">
        <v>939</v>
      </c>
    </row>
    <row r="13" spans="1:7" x14ac:dyDescent="0.2">
      <c r="A13" s="840">
        <v>11</v>
      </c>
      <c r="B13" s="848" t="s">
        <v>940</v>
      </c>
      <c r="C13" s="848" t="s">
        <v>941</v>
      </c>
    </row>
    <row r="14" spans="1:7" x14ac:dyDescent="0.2">
      <c r="A14" s="840">
        <v>12</v>
      </c>
      <c r="B14" s="848" t="s">
        <v>942</v>
      </c>
      <c r="C14" s="848" t="s">
        <v>943</v>
      </c>
    </row>
    <row r="15" spans="1:7" x14ac:dyDescent="0.2">
      <c r="A15" s="840">
        <v>13</v>
      </c>
      <c r="B15" s="848" t="s">
        <v>944</v>
      </c>
      <c r="C15" s="848" t="s">
        <v>945</v>
      </c>
    </row>
    <row r="16" spans="1:7" x14ac:dyDescent="0.2">
      <c r="A16" s="840">
        <v>14</v>
      </c>
      <c r="B16" s="848" t="s">
        <v>946</v>
      </c>
      <c r="C16" s="848" t="s">
        <v>947</v>
      </c>
    </row>
    <row r="17" spans="1:3" x14ac:dyDescent="0.2">
      <c r="A17" s="840">
        <v>15</v>
      </c>
      <c r="B17" s="848" t="s">
        <v>948</v>
      </c>
      <c r="C17" s="848" t="s">
        <v>949</v>
      </c>
    </row>
    <row r="18" spans="1:3" x14ac:dyDescent="0.2">
      <c r="A18" s="840">
        <v>16</v>
      </c>
      <c r="B18" s="848" t="s">
        <v>950</v>
      </c>
      <c r="C18" s="848" t="s">
        <v>951</v>
      </c>
    </row>
    <row r="19" spans="1:3" x14ac:dyDescent="0.2">
      <c r="A19" s="840">
        <v>17</v>
      </c>
      <c r="B19" s="848" t="s">
        <v>952</v>
      </c>
      <c r="C19" s="848" t="s">
        <v>953</v>
      </c>
    </row>
    <row r="20" spans="1:3" x14ac:dyDescent="0.2">
      <c r="A20" s="840">
        <v>18</v>
      </c>
      <c r="B20" s="848" t="s">
        <v>954</v>
      </c>
      <c r="C20" s="848" t="s">
        <v>955</v>
      </c>
    </row>
    <row r="21" spans="1:3" x14ac:dyDescent="0.2">
      <c r="A21" s="840">
        <v>19</v>
      </c>
      <c r="B21" s="848" t="s">
        <v>956</v>
      </c>
      <c r="C21" s="848" t="s">
        <v>957</v>
      </c>
    </row>
    <row r="22" spans="1:3" x14ac:dyDescent="0.2">
      <c r="A22" s="840">
        <v>20</v>
      </c>
      <c r="B22" s="848" t="s">
        <v>958</v>
      </c>
      <c r="C22" s="848" t="s">
        <v>959</v>
      </c>
    </row>
    <row r="23" spans="1:3" x14ac:dyDescent="0.2">
      <c r="A23" s="840">
        <v>21</v>
      </c>
      <c r="B23" s="848" t="s">
        <v>960</v>
      </c>
      <c r="C23" s="848" t="s">
        <v>961</v>
      </c>
    </row>
    <row r="24" spans="1:3" x14ac:dyDescent="0.2">
      <c r="A24" s="840">
        <v>22</v>
      </c>
      <c r="B24" s="848" t="s">
        <v>962</v>
      </c>
      <c r="C24" s="848" t="s">
        <v>963</v>
      </c>
    </row>
    <row r="25" spans="1:3" x14ac:dyDescent="0.2">
      <c r="A25" s="840">
        <v>23</v>
      </c>
      <c r="B25" s="848" t="s">
        <v>964</v>
      </c>
      <c r="C25" s="848" t="s">
        <v>965</v>
      </c>
    </row>
    <row r="26" spans="1:3" x14ac:dyDescent="0.2">
      <c r="A26" s="840">
        <v>24</v>
      </c>
      <c r="B26" s="848" t="s">
        <v>966</v>
      </c>
      <c r="C26" s="848" t="s">
        <v>967</v>
      </c>
    </row>
    <row r="27" spans="1:3" x14ac:dyDescent="0.2">
      <c r="A27" s="840">
        <v>25</v>
      </c>
      <c r="B27" s="848" t="s">
        <v>968</v>
      </c>
      <c r="C27" s="848" t="s">
        <v>969</v>
      </c>
    </row>
    <row r="28" spans="1:3" x14ac:dyDescent="0.2">
      <c r="A28" s="840">
        <v>26</v>
      </c>
      <c r="B28" s="848" t="s">
        <v>970</v>
      </c>
      <c r="C28" s="848" t="s">
        <v>971</v>
      </c>
    </row>
    <row r="29" spans="1:3" x14ac:dyDescent="0.2">
      <c r="A29" s="840">
        <v>27</v>
      </c>
      <c r="B29" s="848" t="s">
        <v>972</v>
      </c>
      <c r="C29" s="848" t="s">
        <v>973</v>
      </c>
    </row>
    <row r="30" spans="1:3" x14ac:dyDescent="0.2">
      <c r="A30" s="840">
        <v>28</v>
      </c>
      <c r="B30" s="848" t="s">
        <v>974</v>
      </c>
      <c r="C30" s="848" t="s">
        <v>975</v>
      </c>
    </row>
    <row r="31" spans="1:3" x14ac:dyDescent="0.2">
      <c r="A31" s="840">
        <v>29</v>
      </c>
      <c r="B31" s="848" t="s">
        <v>976</v>
      </c>
      <c r="C31" s="848" t="s">
        <v>977</v>
      </c>
    </row>
    <row r="32" spans="1:3" x14ac:dyDescent="0.2">
      <c r="A32" s="840">
        <v>30</v>
      </c>
      <c r="B32" s="848" t="s">
        <v>978</v>
      </c>
      <c r="C32" s="848" t="s">
        <v>979</v>
      </c>
    </row>
    <row r="33" spans="1:3" x14ac:dyDescent="0.2">
      <c r="A33" s="840">
        <v>31</v>
      </c>
      <c r="B33" s="849" t="s">
        <v>980</v>
      </c>
      <c r="C33" s="849" t="s">
        <v>981</v>
      </c>
    </row>
    <row r="34" spans="1:3" x14ac:dyDescent="0.2">
      <c r="A34" s="840">
        <v>32</v>
      </c>
      <c r="B34" s="848" t="s">
        <v>982</v>
      </c>
      <c r="C34" s="848" t="s">
        <v>983</v>
      </c>
    </row>
    <row r="35" spans="1:3" x14ac:dyDescent="0.2">
      <c r="A35" s="840">
        <v>33</v>
      </c>
      <c r="B35" s="848" t="s">
        <v>984</v>
      </c>
      <c r="C35" s="848" t="s">
        <v>983</v>
      </c>
    </row>
    <row r="36" spans="1:3" x14ac:dyDescent="0.2">
      <c r="A36" s="840">
        <v>34</v>
      </c>
      <c r="B36" s="848" t="s">
        <v>985</v>
      </c>
      <c r="C36" s="848" t="s">
        <v>986</v>
      </c>
    </row>
    <row r="37" spans="1:3" x14ac:dyDescent="0.2">
      <c r="A37" s="840">
        <v>35</v>
      </c>
      <c r="B37" s="848" t="s">
        <v>987</v>
      </c>
      <c r="C37" s="848" t="s">
        <v>988</v>
      </c>
    </row>
    <row r="38" spans="1:3" x14ac:dyDescent="0.2">
      <c r="A38" s="840">
        <v>36</v>
      </c>
      <c r="B38" s="848" t="s">
        <v>989</v>
      </c>
      <c r="C38" s="848" t="s">
        <v>990</v>
      </c>
    </row>
    <row r="39" spans="1:3" x14ac:dyDescent="0.2">
      <c r="A39" s="840">
        <v>37</v>
      </c>
      <c r="B39" s="848" t="s">
        <v>991</v>
      </c>
      <c r="C39" s="848" t="s">
        <v>992</v>
      </c>
    </row>
    <row r="40" spans="1:3" x14ac:dyDescent="0.2">
      <c r="A40" s="840">
        <v>38</v>
      </c>
      <c r="B40" s="848" t="s">
        <v>993</v>
      </c>
      <c r="C40" s="848" t="s">
        <v>994</v>
      </c>
    </row>
    <row r="41" spans="1:3" x14ac:dyDescent="0.2">
      <c r="A41" s="840">
        <v>39</v>
      </c>
      <c r="B41" s="848" t="s">
        <v>995</v>
      </c>
      <c r="C41" s="848" t="s">
        <v>996</v>
      </c>
    </row>
    <row r="42" spans="1:3" x14ac:dyDescent="0.2">
      <c r="A42" s="840">
        <v>40</v>
      </c>
      <c r="B42" s="848" t="s">
        <v>997</v>
      </c>
      <c r="C42" s="848" t="s">
        <v>998</v>
      </c>
    </row>
    <row r="43" spans="1:3" x14ac:dyDescent="0.2">
      <c r="A43" s="840">
        <v>41</v>
      </c>
      <c r="B43" s="848" t="s">
        <v>999</v>
      </c>
      <c r="C43" s="848" t="s">
        <v>1000</v>
      </c>
    </row>
    <row r="44" spans="1:3" x14ac:dyDescent="0.2">
      <c r="A44" s="840">
        <v>42</v>
      </c>
      <c r="B44" s="848" t="s">
        <v>1001</v>
      </c>
      <c r="C44" s="848" t="s">
        <v>1002</v>
      </c>
    </row>
    <row r="45" spans="1:3" x14ac:dyDescent="0.2">
      <c r="A45" s="840">
        <v>43</v>
      </c>
      <c r="B45" s="848" t="s">
        <v>1003</v>
      </c>
      <c r="C45" s="848" t="s">
        <v>1004</v>
      </c>
    </row>
    <row r="46" spans="1:3" x14ac:dyDescent="0.2">
      <c r="A46" s="840">
        <v>44</v>
      </c>
      <c r="B46" s="848" t="s">
        <v>1005</v>
      </c>
      <c r="C46" s="848" t="s">
        <v>1006</v>
      </c>
    </row>
    <row r="47" spans="1:3" x14ac:dyDescent="0.2">
      <c r="A47" s="840">
        <v>45</v>
      </c>
      <c r="B47" s="848" t="s">
        <v>1007</v>
      </c>
      <c r="C47" s="848" t="s">
        <v>1008</v>
      </c>
    </row>
    <row r="48" spans="1:3" x14ac:dyDescent="0.2">
      <c r="A48" s="840">
        <v>46</v>
      </c>
      <c r="B48" s="848" t="s">
        <v>1009</v>
      </c>
      <c r="C48" s="848" t="s">
        <v>1010</v>
      </c>
    </row>
    <row r="49" spans="1:3" x14ac:dyDescent="0.2">
      <c r="A49" s="840">
        <v>47</v>
      </c>
      <c r="B49" s="848" t="s">
        <v>1011</v>
      </c>
      <c r="C49" s="848" t="s">
        <v>1012</v>
      </c>
    </row>
    <row r="50" spans="1:3" x14ac:dyDescent="0.2">
      <c r="A50" s="840">
        <v>48</v>
      </c>
      <c r="B50" s="848" t="s">
        <v>1013</v>
      </c>
      <c r="C50" s="848" t="s">
        <v>1014</v>
      </c>
    </row>
    <row r="51" spans="1:3" x14ac:dyDescent="0.2">
      <c r="A51" s="840">
        <v>49</v>
      </c>
      <c r="B51" s="848" t="s">
        <v>1015</v>
      </c>
      <c r="C51" s="848" t="s">
        <v>1016</v>
      </c>
    </row>
    <row r="52" spans="1:3" x14ac:dyDescent="0.2">
      <c r="A52" s="840">
        <v>50</v>
      </c>
      <c r="B52" s="848" t="s">
        <v>1017</v>
      </c>
      <c r="C52" s="848" t="s">
        <v>1018</v>
      </c>
    </row>
    <row r="53" spans="1:3" x14ac:dyDescent="0.2">
      <c r="A53" s="840">
        <v>51</v>
      </c>
      <c r="B53" s="848" t="s">
        <v>1019</v>
      </c>
      <c r="C53" s="848" t="s">
        <v>1020</v>
      </c>
    </row>
    <row r="54" spans="1:3" x14ac:dyDescent="0.2">
      <c r="A54" s="840">
        <v>52</v>
      </c>
      <c r="B54" s="848" t="s">
        <v>1021</v>
      </c>
      <c r="C54" s="848" t="s">
        <v>1022</v>
      </c>
    </row>
    <row r="55" spans="1:3" x14ac:dyDescent="0.2">
      <c r="A55" s="840">
        <v>53</v>
      </c>
      <c r="B55" s="848" t="s">
        <v>1023</v>
      </c>
      <c r="C55" s="848" t="s">
        <v>1024</v>
      </c>
    </row>
    <row r="56" spans="1:3" x14ac:dyDescent="0.2">
      <c r="A56" s="840">
        <v>54</v>
      </c>
      <c r="B56" s="848" t="s">
        <v>1025</v>
      </c>
      <c r="C56" s="848" t="s">
        <v>1026</v>
      </c>
    </row>
    <row r="57" spans="1:3" x14ac:dyDescent="0.2">
      <c r="A57" s="840">
        <v>55</v>
      </c>
      <c r="B57" s="848" t="s">
        <v>1027</v>
      </c>
      <c r="C57" s="848" t="s">
        <v>1028</v>
      </c>
    </row>
    <row r="58" spans="1:3" x14ac:dyDescent="0.2">
      <c r="A58" s="840">
        <v>56</v>
      </c>
      <c r="B58" s="848" t="s">
        <v>1029</v>
      </c>
      <c r="C58" s="848" t="s">
        <v>1030</v>
      </c>
    </row>
    <row r="59" spans="1:3" x14ac:dyDescent="0.2">
      <c r="A59" s="840">
        <v>57</v>
      </c>
      <c r="B59" s="848" t="s">
        <v>1031</v>
      </c>
      <c r="C59" s="848" t="s">
        <v>1032</v>
      </c>
    </row>
    <row r="60" spans="1:3" x14ac:dyDescent="0.2">
      <c r="A60" s="840">
        <v>58</v>
      </c>
      <c r="B60" s="848" t="s">
        <v>1033</v>
      </c>
      <c r="C60" s="848" t="s">
        <v>1034</v>
      </c>
    </row>
    <row r="61" spans="1:3" x14ac:dyDescent="0.2">
      <c r="A61" s="840">
        <v>59</v>
      </c>
      <c r="B61" s="848" t="s">
        <v>1035</v>
      </c>
      <c r="C61" s="848" t="s">
        <v>1036</v>
      </c>
    </row>
    <row r="62" spans="1:3" x14ac:dyDescent="0.2">
      <c r="A62" s="840">
        <v>60</v>
      </c>
      <c r="B62" s="848" t="s">
        <v>1037</v>
      </c>
      <c r="C62" s="848" t="s">
        <v>1038</v>
      </c>
    </row>
    <row r="63" spans="1:3" x14ac:dyDescent="0.2">
      <c r="A63" s="840">
        <v>61</v>
      </c>
      <c r="B63" s="848" t="s">
        <v>1039</v>
      </c>
      <c r="C63" s="848" t="s">
        <v>1040</v>
      </c>
    </row>
    <row r="64" spans="1:3" x14ac:dyDescent="0.2">
      <c r="A64" s="840">
        <v>62</v>
      </c>
      <c r="B64" s="850" t="s">
        <v>1041</v>
      </c>
      <c r="C64" s="848" t="s">
        <v>1042</v>
      </c>
    </row>
    <row r="65" spans="1:3" x14ac:dyDescent="0.2">
      <c r="A65" s="840">
        <v>63</v>
      </c>
      <c r="B65" s="848" t="s">
        <v>1043</v>
      </c>
      <c r="C65" s="848" t="s">
        <v>1044</v>
      </c>
    </row>
    <row r="66" spans="1:3" x14ac:dyDescent="0.2">
      <c r="A66" s="840">
        <v>64</v>
      </c>
      <c r="B66" s="848" t="s">
        <v>1045</v>
      </c>
      <c r="C66" s="848" t="s">
        <v>1046</v>
      </c>
    </row>
    <row r="67" spans="1:3" x14ac:dyDescent="0.2">
      <c r="A67" s="840">
        <v>65</v>
      </c>
      <c r="B67" s="851" t="s">
        <v>1047</v>
      </c>
      <c r="C67" s="851" t="s">
        <v>1048</v>
      </c>
    </row>
    <row r="68" spans="1:3" x14ac:dyDescent="0.2">
      <c r="A68" s="840">
        <v>66</v>
      </c>
      <c r="B68" s="851" t="s">
        <v>1049</v>
      </c>
      <c r="C68" s="851" t="s">
        <v>949</v>
      </c>
    </row>
  </sheetData>
  <mergeCells count="1">
    <mergeCell ref="A1:D1"/>
  </mergeCells>
  <printOptions horizontalCentered="1"/>
  <pageMargins left="0.70866141732283472" right="0.70866141732283472" top="0.23622047244094491" bottom="0" header="0.31496062992125984" footer="0.31496062992125984"/>
  <pageSetup paperSize="9" scale="6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39997558519241921"/>
    <pageSetUpPr fitToPage="1"/>
  </sheetPr>
  <dimension ref="A1:S32"/>
  <sheetViews>
    <sheetView view="pageBreakPreview" topLeftCell="A9" zoomScale="101" zoomScaleSheetLayoutView="101" workbookViewId="0">
      <selection activeCell="C17" sqref="C17"/>
    </sheetView>
  </sheetViews>
  <sheetFormatPr defaultRowHeight="12.75" x14ac:dyDescent="0.2"/>
  <cols>
    <col min="1" max="1" width="5.5703125" style="12" customWidth="1"/>
    <col min="2" max="2" width="13.28515625" style="12" customWidth="1"/>
    <col min="3" max="3" width="11.28515625" style="12" customWidth="1"/>
    <col min="4" max="4" width="9.85546875" style="12" customWidth="1"/>
    <col min="5" max="5" width="10.42578125" style="12" customWidth="1"/>
    <col min="6" max="6" width="12" style="12" customWidth="1"/>
    <col min="7" max="7" width="15.85546875" style="12" customWidth="1"/>
    <col min="8" max="8" width="12.42578125" style="12" customWidth="1"/>
    <col min="9" max="9" width="12.140625" style="12" customWidth="1"/>
    <col min="10" max="10" width="10.5703125" style="12" customWidth="1"/>
    <col min="11" max="11" width="13.140625" style="12" customWidth="1"/>
    <col min="12" max="12" width="14.7109375" style="12" customWidth="1"/>
    <col min="13" max="13" width="9.140625" style="12" hidden="1" customWidth="1"/>
    <col min="14" max="16384" width="9.140625" style="12"/>
  </cols>
  <sheetData>
    <row r="1" spans="1:19" customFormat="1" ht="15" x14ac:dyDescent="0.2">
      <c r="D1" s="24"/>
      <c r="E1" s="24"/>
      <c r="F1" s="24"/>
      <c r="G1" s="24"/>
      <c r="H1" s="24"/>
      <c r="I1" s="24"/>
      <c r="J1" s="24"/>
      <c r="K1" s="24"/>
      <c r="L1" s="1176" t="s">
        <v>73</v>
      </c>
      <c r="M1" s="1176"/>
      <c r="N1" s="1176"/>
      <c r="O1" s="32"/>
      <c r="P1" s="32"/>
    </row>
    <row r="2" spans="1:19" customFormat="1" ht="15" x14ac:dyDescent="0.2">
      <c r="A2" s="1152" t="s">
        <v>0</v>
      </c>
      <c r="B2" s="1152"/>
      <c r="C2" s="1152"/>
      <c r="D2" s="1152"/>
      <c r="E2" s="1152"/>
      <c r="F2" s="1152"/>
      <c r="G2" s="1152"/>
      <c r="H2" s="1152"/>
      <c r="I2" s="1152"/>
      <c r="J2" s="1152"/>
      <c r="K2" s="1152"/>
      <c r="L2" s="1152"/>
      <c r="M2" s="34"/>
      <c r="N2" s="34"/>
      <c r="O2" s="34"/>
      <c r="P2" s="34"/>
    </row>
    <row r="3" spans="1:19" customFormat="1" ht="15.75" x14ac:dyDescent="0.25">
      <c r="A3" s="1131" t="s">
        <v>788</v>
      </c>
      <c r="B3" s="1131"/>
      <c r="C3" s="1131"/>
      <c r="D3" s="1131"/>
      <c r="E3" s="1131"/>
      <c r="F3" s="1131"/>
      <c r="G3" s="1131"/>
      <c r="H3" s="1131"/>
      <c r="I3" s="1131"/>
      <c r="J3" s="1131"/>
      <c r="K3" s="1131"/>
      <c r="L3" s="1131"/>
      <c r="M3" s="69"/>
      <c r="N3" s="69"/>
      <c r="O3" s="69"/>
      <c r="P3" s="69"/>
      <c r="Q3" s="69"/>
    </row>
    <row r="4" spans="1:19" ht="19.5" customHeight="1" x14ac:dyDescent="0.25">
      <c r="A4" s="1160" t="s">
        <v>898</v>
      </c>
      <c r="B4" s="1160"/>
      <c r="C4" s="1160"/>
      <c r="D4" s="1160"/>
      <c r="E4" s="1160"/>
      <c r="F4" s="1160"/>
      <c r="G4" s="1160"/>
      <c r="H4" s="1160"/>
      <c r="I4" s="1160"/>
      <c r="J4" s="1160"/>
      <c r="K4" s="1160"/>
      <c r="L4" s="1160"/>
    </row>
    <row r="5" spans="1:19" x14ac:dyDescent="0.2">
      <c r="A5" s="17"/>
      <c r="B5" s="17"/>
      <c r="C5" s="17"/>
      <c r="D5" s="17"/>
      <c r="E5" s="17"/>
      <c r="F5" s="17"/>
      <c r="G5" s="17"/>
      <c r="H5" s="17"/>
      <c r="I5" s="17"/>
      <c r="J5" s="17"/>
      <c r="K5" s="17"/>
      <c r="L5" s="17"/>
    </row>
    <row r="6" spans="1:19" x14ac:dyDescent="0.2">
      <c r="A6" s="1037" t="s">
        <v>456</v>
      </c>
      <c r="B6" s="1037"/>
      <c r="C6" s="1037"/>
      <c r="F6" s="1201" t="s">
        <v>20</v>
      </c>
      <c r="G6" s="1201"/>
      <c r="H6" s="1201"/>
      <c r="I6" s="1201"/>
      <c r="J6" s="1201"/>
      <c r="K6" s="1201"/>
      <c r="L6" s="1201"/>
    </row>
    <row r="7" spans="1:19" x14ac:dyDescent="0.2">
      <c r="A7" s="11"/>
      <c r="F7" s="13"/>
      <c r="G7" s="66"/>
      <c r="H7" s="66"/>
      <c r="I7" s="1163" t="s">
        <v>801</v>
      </c>
      <c r="J7" s="1163"/>
      <c r="K7" s="1163"/>
      <c r="L7" s="1163"/>
    </row>
    <row r="8" spans="1:19" s="11" customFormat="1" x14ac:dyDescent="0.2">
      <c r="A8" s="1145" t="s">
        <v>2</v>
      </c>
      <c r="B8" s="1145" t="s">
        <v>3</v>
      </c>
      <c r="C8" s="1145" t="s">
        <v>21</v>
      </c>
      <c r="D8" s="1145"/>
      <c r="E8" s="1145"/>
      <c r="F8" s="1145"/>
      <c r="G8" s="1145"/>
      <c r="H8" s="1145" t="s">
        <v>42</v>
      </c>
      <c r="I8" s="1145"/>
      <c r="J8" s="1145"/>
      <c r="K8" s="1145"/>
      <c r="L8" s="1145"/>
      <c r="R8" s="20"/>
      <c r="S8" s="20"/>
    </row>
    <row r="9" spans="1:19" s="11" customFormat="1" ht="77.45" customHeight="1" x14ac:dyDescent="0.2">
      <c r="A9" s="1145"/>
      <c r="B9" s="1145"/>
      <c r="C9" s="791" t="s">
        <v>807</v>
      </c>
      <c r="D9" s="791" t="s">
        <v>808</v>
      </c>
      <c r="E9" s="189" t="s">
        <v>71</v>
      </c>
      <c r="F9" s="189" t="s">
        <v>72</v>
      </c>
      <c r="G9" s="667" t="s">
        <v>743</v>
      </c>
      <c r="H9" s="791" t="s">
        <v>807</v>
      </c>
      <c r="I9" s="791" t="s">
        <v>808</v>
      </c>
      <c r="J9" s="189" t="s">
        <v>71</v>
      </c>
      <c r="K9" s="189" t="s">
        <v>72</v>
      </c>
      <c r="L9" s="667" t="s">
        <v>744</v>
      </c>
    </row>
    <row r="10" spans="1:19" s="11" customFormat="1" x14ac:dyDescent="0.2">
      <c r="A10" s="189">
        <v>1</v>
      </c>
      <c r="B10" s="189">
        <v>2</v>
      </c>
      <c r="C10" s="189">
        <v>3</v>
      </c>
      <c r="D10" s="189">
        <v>4</v>
      </c>
      <c r="E10" s="189">
        <v>5</v>
      </c>
      <c r="F10" s="189">
        <v>6</v>
      </c>
      <c r="G10" s="189">
        <v>7</v>
      </c>
      <c r="H10" s="189">
        <v>8</v>
      </c>
      <c r="I10" s="189">
        <v>9</v>
      </c>
      <c r="J10" s="189">
        <v>10</v>
      </c>
      <c r="K10" s="189">
        <v>11</v>
      </c>
      <c r="L10" s="189">
        <v>12</v>
      </c>
    </row>
    <row r="11" spans="1:19" ht="20.100000000000001" customHeight="1" x14ac:dyDescent="0.2">
      <c r="A11" s="188">
        <v>1</v>
      </c>
      <c r="B11" s="219" t="s">
        <v>386</v>
      </c>
      <c r="C11" s="90">
        <v>740.74</v>
      </c>
      <c r="D11" s="197">
        <v>128.62</v>
      </c>
      <c r="E11" s="90">
        <v>669.13</v>
      </c>
      <c r="F11" s="197">
        <v>780.71</v>
      </c>
      <c r="G11" s="197">
        <f>D11+E11-F11</f>
        <v>17.039999999999964</v>
      </c>
      <c r="H11" s="1135" t="s">
        <v>399</v>
      </c>
      <c r="I11" s="1151"/>
      <c r="J11" s="1151"/>
      <c r="K11" s="1151"/>
      <c r="L11" s="1151"/>
      <c r="O11" s="11"/>
      <c r="P11" s="11"/>
      <c r="Q11" s="11"/>
    </row>
    <row r="12" spans="1:19" ht="20.100000000000001" customHeight="1" x14ac:dyDescent="0.2">
      <c r="A12" s="188">
        <v>2</v>
      </c>
      <c r="B12" s="219" t="s">
        <v>387</v>
      </c>
      <c r="C12" s="90">
        <v>346.54</v>
      </c>
      <c r="D12" s="197">
        <v>74.22</v>
      </c>
      <c r="E12" s="197">
        <v>297.31</v>
      </c>
      <c r="F12" s="197">
        <v>366.91</v>
      </c>
      <c r="G12" s="197">
        <f t="shared" ref="G12:G23" si="0">D12+E12-F12</f>
        <v>4.6199999999999477</v>
      </c>
      <c r="H12" s="1151"/>
      <c r="I12" s="1151"/>
      <c r="J12" s="1151"/>
      <c r="K12" s="1151"/>
      <c r="L12" s="1151"/>
      <c r="O12" s="11"/>
      <c r="P12" s="11"/>
      <c r="Q12" s="11"/>
    </row>
    <row r="13" spans="1:19" ht="20.100000000000001" customHeight="1" x14ac:dyDescent="0.2">
      <c r="A13" s="188">
        <v>3</v>
      </c>
      <c r="B13" s="219" t="s">
        <v>388</v>
      </c>
      <c r="C13" s="90">
        <v>509.72</v>
      </c>
      <c r="D13" s="197">
        <v>135.82</v>
      </c>
      <c r="E13" s="90">
        <v>463.47</v>
      </c>
      <c r="F13" s="197">
        <v>587.91</v>
      </c>
      <c r="G13" s="197">
        <f t="shared" si="0"/>
        <v>11.379999999999995</v>
      </c>
      <c r="H13" s="1151"/>
      <c r="I13" s="1151"/>
      <c r="J13" s="1151"/>
      <c r="K13" s="1151"/>
      <c r="L13" s="1151"/>
      <c r="O13" s="11"/>
      <c r="P13" s="11"/>
      <c r="Q13" s="11"/>
    </row>
    <row r="14" spans="1:19" ht="20.100000000000001" customHeight="1" x14ac:dyDescent="0.2">
      <c r="A14" s="188">
        <v>4</v>
      </c>
      <c r="B14" s="219" t="s">
        <v>389</v>
      </c>
      <c r="C14" s="90">
        <v>325.25</v>
      </c>
      <c r="D14" s="197">
        <v>41.31</v>
      </c>
      <c r="E14" s="90">
        <v>295.05</v>
      </c>
      <c r="F14" s="197">
        <v>294.11</v>
      </c>
      <c r="G14" s="197">
        <f t="shared" si="0"/>
        <v>42.25</v>
      </c>
      <c r="H14" s="1151"/>
      <c r="I14" s="1151"/>
      <c r="J14" s="1151"/>
      <c r="K14" s="1151"/>
      <c r="L14" s="1151"/>
      <c r="O14" s="11"/>
      <c r="P14" s="11"/>
      <c r="Q14" s="11"/>
    </row>
    <row r="15" spans="1:19" ht="20.100000000000001" customHeight="1" x14ac:dyDescent="0.2">
      <c r="A15" s="188">
        <v>5</v>
      </c>
      <c r="B15" s="221" t="s">
        <v>390</v>
      </c>
      <c r="C15" s="90">
        <v>915.87</v>
      </c>
      <c r="D15" s="197">
        <v>173.85</v>
      </c>
      <c r="E15" s="90">
        <v>788.97</v>
      </c>
      <c r="F15" s="197">
        <v>940.25</v>
      </c>
      <c r="G15" s="197">
        <f t="shared" si="0"/>
        <v>22.57000000000005</v>
      </c>
      <c r="H15" s="1151"/>
      <c r="I15" s="1151"/>
      <c r="J15" s="1151"/>
      <c r="K15" s="1151"/>
      <c r="L15" s="1151"/>
      <c r="O15" s="11"/>
      <c r="P15" s="11"/>
      <c r="Q15" s="11"/>
    </row>
    <row r="16" spans="1:19" ht="20.100000000000001" customHeight="1" x14ac:dyDescent="0.2">
      <c r="A16" s="188">
        <v>6</v>
      </c>
      <c r="B16" s="219" t="s">
        <v>391</v>
      </c>
      <c r="C16" s="90">
        <v>1191.69</v>
      </c>
      <c r="D16" s="197">
        <v>226.17</v>
      </c>
      <c r="E16" s="90">
        <v>980.47</v>
      </c>
      <c r="F16" s="197">
        <v>1185.1600000000001</v>
      </c>
      <c r="G16" s="197">
        <f t="shared" si="0"/>
        <v>21.480000000000018</v>
      </c>
      <c r="H16" s="1151"/>
      <c r="I16" s="1151"/>
      <c r="J16" s="1151"/>
      <c r="K16" s="1151"/>
      <c r="L16" s="1151"/>
    </row>
    <row r="17" spans="1:13" ht="20.100000000000001" customHeight="1" x14ac:dyDescent="0.2">
      <c r="A17" s="188">
        <v>7</v>
      </c>
      <c r="B17" s="221" t="s">
        <v>392</v>
      </c>
      <c r="C17" s="90">
        <v>925.07</v>
      </c>
      <c r="D17" s="197">
        <v>-42.06</v>
      </c>
      <c r="E17" s="90">
        <v>795.91</v>
      </c>
      <c r="F17" s="197">
        <v>749.91</v>
      </c>
      <c r="G17" s="197">
        <f t="shared" si="0"/>
        <v>3.9399999999999409</v>
      </c>
      <c r="H17" s="1151"/>
      <c r="I17" s="1151"/>
      <c r="J17" s="1151"/>
      <c r="K17" s="1151"/>
      <c r="L17" s="1151"/>
    </row>
    <row r="18" spans="1:13" ht="20.100000000000001" customHeight="1" x14ac:dyDescent="0.2">
      <c r="A18" s="188">
        <v>8</v>
      </c>
      <c r="B18" s="219" t="s">
        <v>393</v>
      </c>
      <c r="C18" s="197">
        <v>740.07</v>
      </c>
      <c r="D18" s="197">
        <v>25.88</v>
      </c>
      <c r="E18" s="90">
        <v>635.74</v>
      </c>
      <c r="F18" s="197">
        <v>661.08</v>
      </c>
      <c r="G18" s="197">
        <f t="shared" si="0"/>
        <v>0.53999999999996362</v>
      </c>
      <c r="H18" s="1151"/>
      <c r="I18" s="1151"/>
      <c r="J18" s="1151"/>
      <c r="K18" s="1151"/>
      <c r="L18" s="1151"/>
    </row>
    <row r="19" spans="1:13" ht="20.100000000000001" customHeight="1" x14ac:dyDescent="0.2">
      <c r="A19" s="188">
        <v>9</v>
      </c>
      <c r="B19" s="219" t="s">
        <v>394</v>
      </c>
      <c r="C19" s="90">
        <v>517.67999999999995</v>
      </c>
      <c r="D19" s="197">
        <v>117.93</v>
      </c>
      <c r="E19" s="90">
        <v>473.69</v>
      </c>
      <c r="F19" s="197">
        <v>548.66</v>
      </c>
      <c r="G19" s="197">
        <f t="shared" si="0"/>
        <v>42.960000000000036</v>
      </c>
      <c r="H19" s="1151"/>
      <c r="I19" s="1151"/>
      <c r="J19" s="1151"/>
      <c r="K19" s="1151"/>
      <c r="L19" s="1151"/>
    </row>
    <row r="20" spans="1:13" ht="20.100000000000001" customHeight="1" x14ac:dyDescent="0.2">
      <c r="A20" s="188">
        <v>10</v>
      </c>
      <c r="B20" s="219" t="s">
        <v>395</v>
      </c>
      <c r="C20" s="90">
        <v>382.15</v>
      </c>
      <c r="D20" s="197">
        <v>22.43</v>
      </c>
      <c r="E20" s="90">
        <v>330.84</v>
      </c>
      <c r="F20" s="197">
        <v>344.75</v>
      </c>
      <c r="G20" s="197">
        <f t="shared" si="0"/>
        <v>8.5199999999999818</v>
      </c>
      <c r="H20" s="1151"/>
      <c r="I20" s="1151"/>
      <c r="J20" s="1151"/>
      <c r="K20" s="1151"/>
      <c r="L20" s="1151"/>
    </row>
    <row r="21" spans="1:13" ht="20.100000000000001" customHeight="1" x14ac:dyDescent="0.2">
      <c r="A21" s="188">
        <v>11</v>
      </c>
      <c r="B21" s="219" t="s">
        <v>396</v>
      </c>
      <c r="C21" s="90">
        <v>857.88</v>
      </c>
      <c r="D21" s="197">
        <v>116.05</v>
      </c>
      <c r="E21" s="197">
        <v>735.08</v>
      </c>
      <c r="F21" s="197">
        <v>846.69</v>
      </c>
      <c r="G21" s="197">
        <f t="shared" si="0"/>
        <v>4.4399999999999409</v>
      </c>
      <c r="H21" s="1151"/>
      <c r="I21" s="1151"/>
      <c r="J21" s="1151"/>
      <c r="K21" s="1151"/>
      <c r="L21" s="1151"/>
    </row>
    <row r="22" spans="1:13" ht="20.100000000000001" customHeight="1" x14ac:dyDescent="0.2">
      <c r="A22" s="188">
        <v>12</v>
      </c>
      <c r="B22" s="219" t="s">
        <v>397</v>
      </c>
      <c r="C22" s="90">
        <v>1301.96</v>
      </c>
      <c r="D22" s="197">
        <v>236.56</v>
      </c>
      <c r="E22" s="90">
        <v>1072.69</v>
      </c>
      <c r="F22" s="197">
        <v>1297.54</v>
      </c>
      <c r="G22" s="197">
        <f t="shared" si="0"/>
        <v>11.710000000000036</v>
      </c>
      <c r="H22" s="1151"/>
      <c r="I22" s="1151"/>
      <c r="J22" s="1151"/>
      <c r="K22" s="1151"/>
      <c r="L22" s="1151"/>
    </row>
    <row r="23" spans="1:13" ht="20.100000000000001" customHeight="1" x14ac:dyDescent="0.2">
      <c r="A23" s="188">
        <v>13</v>
      </c>
      <c r="B23" s="219" t="s">
        <v>398</v>
      </c>
      <c r="C23" s="90">
        <v>405.66</v>
      </c>
      <c r="D23" s="197">
        <v>2.4300000000000002</v>
      </c>
      <c r="E23" s="90">
        <v>362.72</v>
      </c>
      <c r="F23" s="197">
        <v>364.49</v>
      </c>
      <c r="G23" s="197">
        <f t="shared" si="0"/>
        <v>0.66000000000002501</v>
      </c>
      <c r="H23" s="1151"/>
      <c r="I23" s="1151"/>
      <c r="J23" s="1151"/>
      <c r="K23" s="1151"/>
      <c r="L23" s="1151"/>
    </row>
    <row r="24" spans="1:13" s="11" customFormat="1" ht="20.100000000000001" customHeight="1" x14ac:dyDescent="0.2">
      <c r="A24" s="1168" t="s">
        <v>18</v>
      </c>
      <c r="B24" s="1159"/>
      <c r="C24" s="198">
        <f>SUM(C11:C23)</f>
        <v>9160.2799999999988</v>
      </c>
      <c r="D24" s="198">
        <f>SUM(D11:D23)</f>
        <v>1259.2099999999998</v>
      </c>
      <c r="E24" s="198">
        <f>SUM(E11:E23)</f>
        <v>7901.0700000000006</v>
      </c>
      <c r="F24" s="198">
        <f>SUM(F11:F23)</f>
        <v>8968.17</v>
      </c>
      <c r="G24" s="198">
        <f>SUM(G11:G23)</f>
        <v>192.1099999999999</v>
      </c>
      <c r="H24" s="1151"/>
      <c r="I24" s="1151"/>
      <c r="J24" s="1151"/>
      <c r="K24" s="1151"/>
      <c r="L24" s="1151"/>
    </row>
    <row r="25" spans="1:13" ht="15.75" customHeight="1" x14ac:dyDescent="0.2">
      <c r="A25" s="15" t="s">
        <v>168</v>
      </c>
      <c r="B25" s="16"/>
      <c r="C25" s="16"/>
      <c r="D25" s="16"/>
      <c r="E25" s="16"/>
      <c r="F25" s="16"/>
      <c r="G25" s="16"/>
      <c r="H25" s="16"/>
      <c r="I25" s="16"/>
      <c r="J25" s="11"/>
      <c r="K25" s="11"/>
      <c r="L25" s="11"/>
    </row>
    <row r="26" spans="1:13" ht="15.75" customHeight="1" x14ac:dyDescent="0.2">
      <c r="A26" s="11"/>
      <c r="B26" s="11"/>
      <c r="C26" s="11"/>
      <c r="D26" s="11"/>
      <c r="E26" s="11"/>
      <c r="F26" s="11"/>
      <c r="G26" s="11"/>
      <c r="H26" s="11"/>
      <c r="I26" s="11"/>
      <c r="J26" s="11"/>
      <c r="K26" s="11"/>
      <c r="L26" s="11"/>
    </row>
    <row r="27" spans="1:13" ht="14.25" customHeight="1" x14ac:dyDescent="0.2">
      <c r="A27" s="1161" t="s">
        <v>12</v>
      </c>
      <c r="B27" s="1161"/>
      <c r="C27" s="1161"/>
      <c r="D27" s="1161"/>
      <c r="E27" s="1161"/>
      <c r="F27" s="1161"/>
      <c r="G27" s="1161"/>
      <c r="H27" s="1161"/>
      <c r="I27" s="1161"/>
      <c r="J27" s="1161"/>
      <c r="K27" s="1161"/>
      <c r="L27" s="1161"/>
    </row>
    <row r="28" spans="1:13" x14ac:dyDescent="0.2">
      <c r="A28" s="1161" t="s">
        <v>13</v>
      </c>
      <c r="B28" s="1161"/>
      <c r="C28" s="1161"/>
      <c r="D28" s="1161"/>
      <c r="E28" s="1161"/>
      <c r="F28" s="1161"/>
      <c r="G28" s="1161"/>
      <c r="H28" s="1161"/>
      <c r="I28" s="1161"/>
      <c r="J28" s="1161"/>
      <c r="K28" s="1161"/>
      <c r="L28" s="1161"/>
    </row>
    <row r="29" spans="1:13" x14ac:dyDescent="0.2">
      <c r="A29" s="1161" t="s">
        <v>19</v>
      </c>
      <c r="B29" s="1161"/>
      <c r="C29" s="1161"/>
      <c r="D29" s="1161"/>
      <c r="E29" s="1161"/>
      <c r="F29" s="1161"/>
      <c r="G29" s="1161"/>
      <c r="H29" s="1161"/>
      <c r="I29" s="1161"/>
      <c r="J29" s="1161"/>
      <c r="K29" s="1161"/>
      <c r="L29" s="1161"/>
    </row>
    <row r="30" spans="1:13" x14ac:dyDescent="0.2">
      <c r="A30" s="11" t="s">
        <v>22</v>
      </c>
      <c r="B30" s="11"/>
      <c r="C30" s="11"/>
      <c r="D30" s="11"/>
      <c r="E30" s="11"/>
      <c r="F30" s="11"/>
      <c r="J30" s="1075" t="s">
        <v>84</v>
      </c>
      <c r="K30" s="1075"/>
      <c r="L30" s="1075"/>
      <c r="M30" s="1075"/>
    </row>
    <row r="31" spans="1:13" x14ac:dyDescent="0.2">
      <c r="A31" s="11"/>
    </row>
    <row r="32" spans="1:13" x14ac:dyDescent="0.2">
      <c r="A32" s="1157"/>
      <c r="B32" s="1157"/>
      <c r="C32" s="1157"/>
      <c r="D32" s="1157"/>
      <c r="E32" s="1157"/>
      <c r="F32" s="1157"/>
      <c r="G32" s="1157"/>
      <c r="H32" s="1157"/>
      <c r="I32" s="1157"/>
      <c r="J32" s="1157"/>
      <c r="K32" s="1157"/>
      <c r="L32" s="1157"/>
    </row>
  </sheetData>
  <mergeCells count="18">
    <mergeCell ref="A32:L32"/>
    <mergeCell ref="A8:A9"/>
    <mergeCell ref="B8:B9"/>
    <mergeCell ref="C8:G8"/>
    <mergeCell ref="H8:L8"/>
    <mergeCell ref="A27:L27"/>
    <mergeCell ref="A28:L28"/>
    <mergeCell ref="J30:M30"/>
    <mergeCell ref="H11:L24"/>
    <mergeCell ref="A24:B24"/>
    <mergeCell ref="I7:L7"/>
    <mergeCell ref="A29:L29"/>
    <mergeCell ref="F6:L6"/>
    <mergeCell ref="L1:N1"/>
    <mergeCell ref="A2:L2"/>
    <mergeCell ref="A3:L3"/>
    <mergeCell ref="A4:L4"/>
    <mergeCell ref="A6:C6"/>
  </mergeCells>
  <phoneticPr fontId="0" type="noConversion"/>
  <printOptions horizontalCentered="1"/>
  <pageMargins left="0.49" right="0.35" top="0.23622047244094491" bottom="0" header="0.31496062992125984" footer="0.31496062992125984"/>
  <pageSetup paperSize="9" orientation="landscape" r:id="rId1"/>
  <rowBreaks count="1" manualBreakCount="1">
    <brk id="3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39997558519241921"/>
    <pageSetUpPr fitToPage="1"/>
  </sheetPr>
  <dimension ref="A2:S37"/>
  <sheetViews>
    <sheetView view="pageBreakPreview" topLeftCell="A13" zoomScaleSheetLayoutView="100" workbookViewId="0">
      <selection activeCell="E28" sqref="E28"/>
    </sheetView>
  </sheetViews>
  <sheetFormatPr defaultRowHeight="12.75" x14ac:dyDescent="0.2"/>
  <cols>
    <col min="1" max="1" width="5.7109375" style="86" customWidth="1"/>
    <col min="2" max="2" width="13.42578125" style="86" customWidth="1"/>
    <col min="3" max="3" width="13" style="86" customWidth="1"/>
    <col min="4" max="4" width="12" style="86" customWidth="1"/>
    <col min="5" max="5" width="12.42578125" style="86" customWidth="1"/>
    <col min="6" max="6" width="14.42578125" style="86" customWidth="1"/>
    <col min="7" max="7" width="14.7109375" style="86" customWidth="1"/>
    <col min="8" max="8" width="13.5703125" style="86" customWidth="1"/>
    <col min="9" max="10" width="12.42578125" style="86" customWidth="1"/>
    <col min="11" max="11" width="15.85546875" style="86" customWidth="1"/>
    <col min="12" max="12" width="13.140625" style="86" customWidth="1"/>
    <col min="13" max="13" width="15.85546875" style="86" customWidth="1"/>
    <col min="14" max="16384" width="9.140625" style="86"/>
  </cols>
  <sheetData>
    <row r="2" spans="1:19" x14ac:dyDescent="0.2">
      <c r="K2" s="1158" t="s">
        <v>226</v>
      </c>
      <c r="L2" s="1158"/>
      <c r="M2" s="1158"/>
    </row>
    <row r="3" spans="1:19" ht="12.75" customHeight="1" x14ac:dyDescent="0.2"/>
    <row r="4" spans="1:19" ht="15.75" x14ac:dyDescent="0.25">
      <c r="A4" s="1208" t="s">
        <v>0</v>
      </c>
      <c r="B4" s="1208"/>
      <c r="C4" s="1208"/>
      <c r="D4" s="1208"/>
      <c r="E4" s="1208"/>
      <c r="F4" s="1208"/>
      <c r="G4" s="1208"/>
      <c r="H4" s="1208"/>
      <c r="I4" s="1208"/>
      <c r="J4" s="1208"/>
      <c r="K4" s="1208"/>
      <c r="L4" s="1208"/>
      <c r="M4" s="1208"/>
    </row>
    <row r="5" spans="1:19" ht="15.75" x14ac:dyDescent="0.25">
      <c r="A5" s="1131" t="s">
        <v>788</v>
      </c>
      <c r="B5" s="1131"/>
      <c r="C5" s="1131"/>
      <c r="D5" s="1131"/>
      <c r="E5" s="1131"/>
      <c r="F5" s="1131"/>
      <c r="G5" s="1131"/>
      <c r="H5" s="1131"/>
      <c r="I5" s="1131"/>
      <c r="J5" s="1131"/>
      <c r="K5" s="1131"/>
      <c r="L5" s="1131"/>
      <c r="M5" s="1131"/>
      <c r="N5" s="69"/>
      <c r="O5" s="69"/>
      <c r="P5" s="69"/>
      <c r="Q5" s="69"/>
      <c r="R5" s="69"/>
      <c r="S5" s="69"/>
    </row>
    <row r="6" spans="1:19" ht="10.5" customHeight="1" x14ac:dyDescent="0.2"/>
    <row r="7" spans="1:19" ht="18" x14ac:dyDescent="0.25">
      <c r="A7" s="1203" t="s">
        <v>911</v>
      </c>
      <c r="B7" s="1203"/>
      <c r="C7" s="1203"/>
      <c r="D7" s="1203"/>
      <c r="E7" s="1203"/>
      <c r="F7" s="1203"/>
      <c r="G7" s="1203"/>
      <c r="H7" s="1203"/>
      <c r="I7" s="1203"/>
      <c r="J7" s="1203"/>
      <c r="K7" s="1203"/>
      <c r="L7" s="1203"/>
      <c r="M7" s="1203"/>
    </row>
    <row r="8" spans="1:19" ht="15.75" x14ac:dyDescent="0.25">
      <c r="B8" s="87"/>
      <c r="C8" s="87"/>
      <c r="D8" s="87"/>
      <c r="E8" s="87"/>
      <c r="F8" s="87"/>
      <c r="G8" s="87"/>
      <c r="H8" s="87"/>
      <c r="L8" s="1204" t="s">
        <v>202</v>
      </c>
      <c r="M8" s="1204"/>
    </row>
    <row r="9" spans="1:19" x14ac:dyDescent="0.2">
      <c r="A9" s="1147" t="s">
        <v>456</v>
      </c>
      <c r="B9" s="1147"/>
      <c r="C9" s="1147"/>
      <c r="D9" s="462"/>
      <c r="E9" s="462"/>
      <c r="F9" s="462"/>
      <c r="G9" s="463"/>
      <c r="H9" s="464"/>
      <c r="I9" s="464"/>
      <c r="J9" s="464"/>
      <c r="K9" s="1133" t="s">
        <v>801</v>
      </c>
      <c r="L9" s="1133"/>
      <c r="M9" s="1133"/>
    </row>
    <row r="10" spans="1:19" ht="15.75" customHeight="1" x14ac:dyDescent="0.2">
      <c r="A10" s="1202" t="s">
        <v>25</v>
      </c>
      <c r="B10" s="1202" t="s">
        <v>3</v>
      </c>
      <c r="C10" s="1202" t="s">
        <v>876</v>
      </c>
      <c r="D10" s="1202" t="s">
        <v>808</v>
      </c>
      <c r="E10" s="1202" t="s">
        <v>242</v>
      </c>
      <c r="F10" s="1202" t="s">
        <v>714</v>
      </c>
      <c r="G10" s="1202"/>
      <c r="H10" s="1202" t="s">
        <v>199</v>
      </c>
      <c r="I10" s="1202"/>
      <c r="J10" s="1205" t="s">
        <v>571</v>
      </c>
      <c r="K10" s="1202" t="s">
        <v>201</v>
      </c>
      <c r="L10" s="1202" t="s">
        <v>258</v>
      </c>
      <c r="M10" s="1202" t="s">
        <v>257</v>
      </c>
    </row>
    <row r="11" spans="1:19" x14ac:dyDescent="0.2">
      <c r="A11" s="1202"/>
      <c r="B11" s="1202"/>
      <c r="C11" s="1202"/>
      <c r="D11" s="1202"/>
      <c r="E11" s="1202"/>
      <c r="F11" s="1202"/>
      <c r="G11" s="1202"/>
      <c r="H11" s="1202"/>
      <c r="I11" s="1202"/>
      <c r="J11" s="1206"/>
      <c r="K11" s="1202"/>
      <c r="L11" s="1202"/>
      <c r="M11" s="1202"/>
    </row>
    <row r="12" spans="1:19" ht="41.25" customHeight="1" x14ac:dyDescent="0.2">
      <c r="A12" s="1202"/>
      <c r="B12" s="1202"/>
      <c r="C12" s="1202"/>
      <c r="D12" s="1202"/>
      <c r="E12" s="1202"/>
      <c r="F12" s="224" t="s">
        <v>200</v>
      </c>
      <c r="G12" s="224" t="s">
        <v>259</v>
      </c>
      <c r="H12" s="224" t="s">
        <v>200</v>
      </c>
      <c r="I12" s="585" t="s">
        <v>259</v>
      </c>
      <c r="J12" s="1207"/>
      <c r="K12" s="1202"/>
      <c r="L12" s="1202"/>
      <c r="M12" s="1202"/>
    </row>
    <row r="13" spans="1:19" x14ac:dyDescent="0.2">
      <c r="A13" s="243">
        <v>1</v>
      </c>
      <c r="B13" s="243">
        <v>2</v>
      </c>
      <c r="C13" s="243">
        <v>3</v>
      </c>
      <c r="D13" s="243">
        <v>4</v>
      </c>
      <c r="E13" s="243">
        <v>5</v>
      </c>
      <c r="F13" s="243">
        <v>6</v>
      </c>
      <c r="G13" s="243">
        <v>7</v>
      </c>
      <c r="H13" s="243">
        <v>8</v>
      </c>
      <c r="I13" s="243">
        <v>9</v>
      </c>
      <c r="J13" s="243">
        <v>10</v>
      </c>
      <c r="K13" s="243">
        <v>11</v>
      </c>
      <c r="L13" s="228">
        <v>12</v>
      </c>
      <c r="M13" s="228">
        <v>13</v>
      </c>
    </row>
    <row r="14" spans="1:19" ht="24.95" customHeight="1" x14ac:dyDescent="0.2">
      <c r="A14" s="188">
        <v>1</v>
      </c>
      <c r="B14" s="219" t="s">
        <v>386</v>
      </c>
      <c r="C14" s="259">
        <v>40.1</v>
      </c>
      <c r="D14" s="540">
        <v>-0.69</v>
      </c>
      <c r="E14" s="259">
        <v>36.119999999999997</v>
      </c>
      <c r="F14" s="259">
        <v>1174.7</v>
      </c>
      <c r="G14" s="259">
        <v>35.700000000000003</v>
      </c>
      <c r="H14" s="259">
        <v>1174.7</v>
      </c>
      <c r="I14" s="259">
        <v>35.700000000000003</v>
      </c>
      <c r="J14" s="200">
        <f>G14-I14</f>
        <v>0</v>
      </c>
      <c r="K14" s="200">
        <f>D14+E14-I14</f>
        <v>-0.27000000000000313</v>
      </c>
      <c r="L14" s="200">
        <v>0</v>
      </c>
      <c r="M14" s="200">
        <f>L14</f>
        <v>0</v>
      </c>
    </row>
    <row r="15" spans="1:19" ht="24.95" customHeight="1" x14ac:dyDescent="0.2">
      <c r="A15" s="188">
        <v>2</v>
      </c>
      <c r="B15" s="219" t="s">
        <v>387</v>
      </c>
      <c r="C15" s="259">
        <v>19.260000000000002</v>
      </c>
      <c r="D15" s="540">
        <v>-0.31</v>
      </c>
      <c r="E15" s="259">
        <v>16.920000000000002</v>
      </c>
      <c r="F15" s="259">
        <v>550.09</v>
      </c>
      <c r="G15" s="259">
        <v>16.670000000000002</v>
      </c>
      <c r="H15" s="259">
        <v>550.09</v>
      </c>
      <c r="I15" s="259">
        <v>16.670000000000002</v>
      </c>
      <c r="J15" s="200">
        <f t="shared" ref="J15:J26" si="0">G15-I15</f>
        <v>0</v>
      </c>
      <c r="K15" s="200">
        <f t="shared" ref="K15:K26" si="1">D15+E15-I15</f>
        <v>-5.9999999999998721E-2</v>
      </c>
      <c r="L15" s="200">
        <v>0</v>
      </c>
      <c r="M15" s="200">
        <f>L15</f>
        <v>0</v>
      </c>
    </row>
    <row r="16" spans="1:19" ht="24.95" customHeight="1" x14ac:dyDescent="0.2">
      <c r="A16" s="188">
        <v>3</v>
      </c>
      <c r="B16" s="219" t="s">
        <v>388</v>
      </c>
      <c r="C16" s="259">
        <v>29.66</v>
      </c>
      <c r="D16" s="540">
        <v>-0.47</v>
      </c>
      <c r="E16" s="259">
        <v>27.16</v>
      </c>
      <c r="F16" s="259">
        <v>883.15</v>
      </c>
      <c r="G16" s="259">
        <v>27.16</v>
      </c>
      <c r="H16" s="259">
        <v>883.15</v>
      </c>
      <c r="I16" s="259">
        <v>27.16</v>
      </c>
      <c r="J16" s="200">
        <f t="shared" si="0"/>
        <v>0</v>
      </c>
      <c r="K16" s="200">
        <f t="shared" si="1"/>
        <v>-0.46999999999999886</v>
      </c>
      <c r="L16" s="200">
        <v>0</v>
      </c>
      <c r="M16" s="200">
        <f t="shared" ref="M16:M26" si="2">L16</f>
        <v>0</v>
      </c>
    </row>
    <row r="17" spans="1:14" ht="24.95" customHeight="1" x14ac:dyDescent="0.2">
      <c r="A17" s="188">
        <v>4</v>
      </c>
      <c r="B17" s="219" t="s">
        <v>389</v>
      </c>
      <c r="C17" s="200">
        <v>18.399999999999999</v>
      </c>
      <c r="D17" s="540">
        <v>-0.24</v>
      </c>
      <c r="E17" s="259">
        <v>16.63</v>
      </c>
      <c r="F17" s="259">
        <v>540.89</v>
      </c>
      <c r="G17" s="259">
        <v>16.59</v>
      </c>
      <c r="H17" s="259">
        <v>540.89</v>
      </c>
      <c r="I17" s="259">
        <v>16.59</v>
      </c>
      <c r="J17" s="200">
        <f t="shared" si="0"/>
        <v>0</v>
      </c>
      <c r="K17" s="200">
        <f t="shared" si="1"/>
        <v>-0.19999999999999929</v>
      </c>
      <c r="L17" s="200">
        <v>0</v>
      </c>
      <c r="M17" s="200">
        <f t="shared" si="2"/>
        <v>0</v>
      </c>
    </row>
    <row r="18" spans="1:14" ht="24.95" customHeight="1" x14ac:dyDescent="0.2">
      <c r="A18" s="188">
        <v>5</v>
      </c>
      <c r="B18" s="221" t="s">
        <v>390</v>
      </c>
      <c r="C18" s="259">
        <v>54.91</v>
      </c>
      <c r="D18" s="540">
        <v>-1.87</v>
      </c>
      <c r="E18" s="259">
        <v>46.93</v>
      </c>
      <c r="F18" s="259">
        <v>1526.14</v>
      </c>
      <c r="G18" s="259">
        <v>46.93</v>
      </c>
      <c r="H18" s="259">
        <v>1526.14</v>
      </c>
      <c r="I18" s="259">
        <v>46.93</v>
      </c>
      <c r="J18" s="200">
        <f t="shared" si="0"/>
        <v>0</v>
      </c>
      <c r="K18" s="200">
        <f t="shared" si="1"/>
        <v>-1.8699999999999974</v>
      </c>
      <c r="L18" s="200">
        <v>0</v>
      </c>
      <c r="M18" s="200">
        <f t="shared" si="2"/>
        <v>0</v>
      </c>
    </row>
    <row r="19" spans="1:14" s="88" customFormat="1" ht="24.95" customHeight="1" x14ac:dyDescent="0.2">
      <c r="A19" s="188">
        <v>6</v>
      </c>
      <c r="B19" s="219" t="s">
        <v>391</v>
      </c>
      <c r="C19" s="339">
        <v>86.62</v>
      </c>
      <c r="D19" s="540">
        <v>-8.8699999999999992</v>
      </c>
      <c r="E19" s="339">
        <v>72.319999999999993</v>
      </c>
      <c r="F19" s="339">
        <v>2351.73</v>
      </c>
      <c r="G19" s="339">
        <v>72.31</v>
      </c>
      <c r="H19" s="339">
        <v>2351.73</v>
      </c>
      <c r="I19" s="339">
        <v>72.31</v>
      </c>
      <c r="J19" s="200">
        <f t="shared" si="0"/>
        <v>0</v>
      </c>
      <c r="K19" s="200">
        <f>D19+E19-I19</f>
        <v>-8.8600000000000065</v>
      </c>
      <c r="L19" s="200">
        <v>0</v>
      </c>
      <c r="M19" s="200">
        <f t="shared" si="2"/>
        <v>0</v>
      </c>
      <c r="N19" s="86"/>
    </row>
    <row r="20" spans="1:14" s="88" customFormat="1" ht="24.95" customHeight="1" x14ac:dyDescent="0.2">
      <c r="A20" s="188">
        <v>7</v>
      </c>
      <c r="B20" s="221" t="s">
        <v>392</v>
      </c>
      <c r="C20" s="339">
        <v>52.09</v>
      </c>
      <c r="D20" s="540">
        <v>-0.78</v>
      </c>
      <c r="E20" s="339">
        <v>44.76</v>
      </c>
      <c r="F20" s="339">
        <v>1455.57</v>
      </c>
      <c r="G20" s="339">
        <v>44.19</v>
      </c>
      <c r="H20" s="339">
        <v>1455.57</v>
      </c>
      <c r="I20" s="540">
        <v>44.19</v>
      </c>
      <c r="J20" s="200">
        <f t="shared" si="0"/>
        <v>0</v>
      </c>
      <c r="K20" s="200">
        <f t="shared" si="1"/>
        <v>-0.21000000000000085</v>
      </c>
      <c r="L20" s="200">
        <v>0</v>
      </c>
      <c r="M20" s="200">
        <f t="shared" si="2"/>
        <v>0</v>
      </c>
      <c r="N20" s="86"/>
    </row>
    <row r="21" spans="1:14" ht="24.95" customHeight="1" x14ac:dyDescent="0.2">
      <c r="A21" s="188">
        <v>8</v>
      </c>
      <c r="B21" s="219" t="s">
        <v>393</v>
      </c>
      <c r="C21" s="259">
        <v>40.25</v>
      </c>
      <c r="D21" s="540">
        <v>-1.41</v>
      </c>
      <c r="E21" s="259">
        <v>34.89</v>
      </c>
      <c r="F21" s="236">
        <v>1134.58</v>
      </c>
      <c r="G21" s="236">
        <v>34.799999999999997</v>
      </c>
      <c r="H21" s="338">
        <v>1134.58</v>
      </c>
      <c r="I21" s="236">
        <v>34.799999999999997</v>
      </c>
      <c r="J21" s="200">
        <f t="shared" si="0"/>
        <v>0</v>
      </c>
      <c r="K21" s="200">
        <f t="shared" si="1"/>
        <v>-1.3199999999999932</v>
      </c>
      <c r="L21" s="200">
        <v>0</v>
      </c>
      <c r="M21" s="200">
        <f t="shared" si="2"/>
        <v>0</v>
      </c>
    </row>
    <row r="22" spans="1:14" ht="24.95" customHeight="1" x14ac:dyDescent="0.2">
      <c r="A22" s="188">
        <v>9</v>
      </c>
      <c r="B22" s="219" t="s">
        <v>394</v>
      </c>
      <c r="C22" s="259">
        <v>28.4</v>
      </c>
      <c r="D22" s="540">
        <v>-0.46</v>
      </c>
      <c r="E22" s="259">
        <v>26.64</v>
      </c>
      <c r="F22" s="236">
        <v>866.37</v>
      </c>
      <c r="G22" s="236">
        <v>26.26</v>
      </c>
      <c r="H22" s="236">
        <v>866.37</v>
      </c>
      <c r="I22" s="236">
        <v>26.26</v>
      </c>
      <c r="J22" s="200">
        <f t="shared" si="0"/>
        <v>0</v>
      </c>
      <c r="K22" s="200">
        <f t="shared" si="1"/>
        <v>-8.0000000000001847E-2</v>
      </c>
      <c r="L22" s="200">
        <v>0</v>
      </c>
      <c r="M22" s="200">
        <f t="shared" si="2"/>
        <v>0</v>
      </c>
    </row>
    <row r="23" spans="1:14" ht="24.95" customHeight="1" x14ac:dyDescent="0.2">
      <c r="A23" s="188">
        <v>10</v>
      </c>
      <c r="B23" s="219" t="s">
        <v>395</v>
      </c>
      <c r="C23" s="259">
        <v>20.62</v>
      </c>
      <c r="D23" s="540">
        <v>-0.81</v>
      </c>
      <c r="E23" s="200">
        <v>18.12</v>
      </c>
      <c r="F23" s="236">
        <v>589.42999999999995</v>
      </c>
      <c r="G23" s="236">
        <v>18.12</v>
      </c>
      <c r="H23" s="236">
        <v>589.42999999999995</v>
      </c>
      <c r="I23" s="236">
        <v>18.12</v>
      </c>
      <c r="J23" s="200">
        <f t="shared" si="0"/>
        <v>0</v>
      </c>
      <c r="K23" s="200">
        <f t="shared" si="1"/>
        <v>-0.80999999999999872</v>
      </c>
      <c r="L23" s="200">
        <v>0</v>
      </c>
      <c r="M23" s="200">
        <f t="shared" si="2"/>
        <v>0</v>
      </c>
    </row>
    <row r="24" spans="1:14" ht="24.95" customHeight="1" x14ac:dyDescent="0.2">
      <c r="A24" s="188">
        <v>11</v>
      </c>
      <c r="B24" s="219" t="s">
        <v>396</v>
      </c>
      <c r="C24" s="259">
        <v>46.88</v>
      </c>
      <c r="D24" s="540">
        <v>-1.94</v>
      </c>
      <c r="E24" s="259">
        <v>40.74</v>
      </c>
      <c r="F24" s="259">
        <v>1324.93</v>
      </c>
      <c r="G24" s="259">
        <v>40.74</v>
      </c>
      <c r="H24" s="236">
        <v>1324.93</v>
      </c>
      <c r="I24" s="259">
        <v>40.74</v>
      </c>
      <c r="J24" s="200">
        <f t="shared" si="0"/>
        <v>0</v>
      </c>
      <c r="K24" s="200">
        <f t="shared" si="1"/>
        <v>-1.9399999999999977</v>
      </c>
      <c r="L24" s="200">
        <v>0</v>
      </c>
      <c r="M24" s="200">
        <f t="shared" si="2"/>
        <v>0</v>
      </c>
    </row>
    <row r="25" spans="1:14" ht="24.95" customHeight="1" x14ac:dyDescent="0.2">
      <c r="A25" s="188">
        <v>12</v>
      </c>
      <c r="B25" s="219" t="s">
        <v>397</v>
      </c>
      <c r="C25" s="259">
        <v>83.69</v>
      </c>
      <c r="D25" s="540">
        <v>-0.55000000000000004</v>
      </c>
      <c r="E25" s="259">
        <v>68.13</v>
      </c>
      <c r="F25" s="259">
        <v>2215.5100000000002</v>
      </c>
      <c r="G25" s="259">
        <v>67.39</v>
      </c>
      <c r="H25" s="259">
        <v>2215.5100000000002</v>
      </c>
      <c r="I25" s="259">
        <v>67.39</v>
      </c>
      <c r="J25" s="200">
        <f t="shared" si="0"/>
        <v>0</v>
      </c>
      <c r="K25" s="200">
        <f>D25+E25-I25</f>
        <v>0.18999999999999773</v>
      </c>
      <c r="L25" s="200">
        <v>0</v>
      </c>
      <c r="M25" s="200">
        <f t="shared" si="2"/>
        <v>0</v>
      </c>
    </row>
    <row r="26" spans="1:14" ht="24.95" customHeight="1" x14ac:dyDescent="0.2">
      <c r="A26" s="188">
        <v>13</v>
      </c>
      <c r="B26" s="219" t="s">
        <v>398</v>
      </c>
      <c r="C26" s="259">
        <v>25.05</v>
      </c>
      <c r="D26" s="540">
        <v>-0.97</v>
      </c>
      <c r="E26" s="259">
        <v>22.56</v>
      </c>
      <c r="F26" s="259">
        <v>733.7</v>
      </c>
      <c r="G26" s="259">
        <v>22.55</v>
      </c>
      <c r="H26" s="259">
        <v>733.7</v>
      </c>
      <c r="I26" s="259">
        <v>22.55</v>
      </c>
      <c r="J26" s="200">
        <f t="shared" si="0"/>
        <v>0</v>
      </c>
      <c r="K26" s="200">
        <f t="shared" si="1"/>
        <v>-0.96000000000000085</v>
      </c>
      <c r="L26" s="200">
        <v>0</v>
      </c>
      <c r="M26" s="200">
        <f t="shared" si="2"/>
        <v>0</v>
      </c>
    </row>
    <row r="27" spans="1:14" x14ac:dyDescent="0.2">
      <c r="A27" s="188" t="s">
        <v>18</v>
      </c>
      <c r="B27" s="212"/>
      <c r="C27" s="201">
        <f>SUM(C14:C26)</f>
        <v>545.92999999999984</v>
      </c>
      <c r="D27" s="754">
        <f t="shared" ref="D27:M27" si="3">SUM(D14:D26)</f>
        <v>-19.37</v>
      </c>
      <c r="E27" s="201">
        <f t="shared" si="3"/>
        <v>471.91999999999996</v>
      </c>
      <c r="F27" s="201">
        <f t="shared" si="3"/>
        <v>15346.790000000003</v>
      </c>
      <c r="G27" s="201">
        <f t="shared" si="3"/>
        <v>469.41</v>
      </c>
      <c r="H27" s="201">
        <f t="shared" si="3"/>
        <v>15346.790000000003</v>
      </c>
      <c r="I27" s="201">
        <f t="shared" si="3"/>
        <v>469.41</v>
      </c>
      <c r="J27" s="201">
        <f t="shared" si="3"/>
        <v>0</v>
      </c>
      <c r="K27" s="201">
        <f t="shared" si="3"/>
        <v>-16.86</v>
      </c>
      <c r="L27" s="201">
        <f t="shared" si="3"/>
        <v>0</v>
      </c>
      <c r="M27" s="201">
        <f t="shared" si="3"/>
        <v>0</v>
      </c>
    </row>
    <row r="28" spans="1:14" x14ac:dyDescent="0.2">
      <c r="A28" s="114" t="s">
        <v>713</v>
      </c>
      <c r="C28" s="578"/>
      <c r="D28" s="578"/>
      <c r="E28" s="578"/>
      <c r="F28" s="578"/>
      <c r="G28" s="578"/>
      <c r="H28" s="578"/>
      <c r="I28" s="578"/>
      <c r="J28" s="578"/>
      <c r="K28" s="578"/>
      <c r="L28" s="578"/>
      <c r="M28" s="578"/>
    </row>
    <row r="29" spans="1:14" x14ac:dyDescent="0.2">
      <c r="A29" s="833" t="s">
        <v>908</v>
      </c>
    </row>
    <row r="30" spans="1:14" x14ac:dyDescent="0.2">
      <c r="A30" s="833" t="s">
        <v>909</v>
      </c>
    </row>
    <row r="31" spans="1:14" x14ac:dyDescent="0.2">
      <c r="A31" s="833" t="s">
        <v>910</v>
      </c>
    </row>
    <row r="32" spans="1:14" ht="15.75" customHeight="1" x14ac:dyDescent="0.2"/>
    <row r="33" spans="1:14" ht="15.75" customHeight="1" x14ac:dyDescent="0.2">
      <c r="A33" s="1161" t="s">
        <v>12</v>
      </c>
      <c r="B33" s="1161"/>
      <c r="C33" s="1161"/>
      <c r="D33" s="1161"/>
      <c r="E33" s="1161"/>
      <c r="F33" s="1161"/>
      <c r="G33" s="1161"/>
      <c r="H33" s="1161"/>
      <c r="I33" s="1161"/>
      <c r="J33" s="1161"/>
      <c r="K33" s="1161"/>
      <c r="L33" s="1161"/>
      <c r="M33" s="1161"/>
      <c r="N33" s="12"/>
    </row>
    <row r="34" spans="1:14" ht="15.75" customHeight="1" x14ac:dyDescent="0.2">
      <c r="A34" s="1161" t="s">
        <v>13</v>
      </c>
      <c r="B34" s="1161"/>
      <c r="C34" s="1161"/>
      <c r="D34" s="1161"/>
      <c r="E34" s="1161"/>
      <c r="F34" s="1161"/>
      <c r="G34" s="1161"/>
      <c r="H34" s="1161"/>
      <c r="I34" s="1161"/>
      <c r="J34" s="1161"/>
      <c r="K34" s="1161"/>
      <c r="L34" s="1161"/>
      <c r="M34" s="1161"/>
      <c r="N34" s="12"/>
    </row>
    <row r="35" spans="1:14" ht="12.75" customHeight="1" x14ac:dyDescent="0.2">
      <c r="A35" s="1161" t="s">
        <v>19</v>
      </c>
      <c r="B35" s="1161"/>
      <c r="C35" s="1161"/>
      <c r="D35" s="1161"/>
      <c r="E35" s="1161"/>
      <c r="F35" s="1161"/>
      <c r="G35" s="1161"/>
      <c r="H35" s="1161"/>
      <c r="I35" s="1161"/>
      <c r="J35" s="1161"/>
      <c r="K35" s="1161"/>
      <c r="L35" s="1161"/>
      <c r="M35" s="1161"/>
      <c r="N35" s="12"/>
    </row>
    <row r="36" spans="1:14" x14ac:dyDescent="0.2">
      <c r="A36" s="11" t="s">
        <v>610</v>
      </c>
      <c r="B36" s="11"/>
      <c r="C36" s="11"/>
      <c r="D36" s="11"/>
      <c r="E36" s="11"/>
      <c r="F36" s="11"/>
      <c r="G36" s="12"/>
      <c r="H36" s="12"/>
      <c r="I36" s="12"/>
      <c r="J36" s="12"/>
      <c r="L36" s="24" t="s">
        <v>84</v>
      </c>
      <c r="M36" s="24"/>
      <c r="N36" s="24"/>
    </row>
    <row r="37" spans="1:14" x14ac:dyDescent="0.2">
      <c r="A37" s="11"/>
      <c r="B37" s="12"/>
      <c r="C37" s="12"/>
      <c r="D37" s="12"/>
      <c r="E37" s="12"/>
      <c r="F37" s="12"/>
      <c r="G37" s="12"/>
      <c r="H37" s="12"/>
      <c r="I37" s="12"/>
      <c r="J37" s="12"/>
      <c r="K37" s="12"/>
      <c r="L37" s="12"/>
      <c r="M37" s="12"/>
      <c r="N37" s="12"/>
    </row>
  </sheetData>
  <mergeCells count="21">
    <mergeCell ref="A7:M7"/>
    <mergeCell ref="F10:G11"/>
    <mergeCell ref="A5:M5"/>
    <mergeCell ref="K9:M9"/>
    <mergeCell ref="K2:M2"/>
    <mergeCell ref="C10:C12"/>
    <mergeCell ref="L8:M8"/>
    <mergeCell ref="J10:J12"/>
    <mergeCell ref="A10:A12"/>
    <mergeCell ref="B10:B12"/>
    <mergeCell ref="L10:L12"/>
    <mergeCell ref="A4:M4"/>
    <mergeCell ref="M10:M12"/>
    <mergeCell ref="A9:C9"/>
    <mergeCell ref="H10:I11"/>
    <mergeCell ref="A35:M35"/>
    <mergeCell ref="K10:K12"/>
    <mergeCell ref="D10:D12"/>
    <mergeCell ref="E10:E12"/>
    <mergeCell ref="A33:M33"/>
    <mergeCell ref="A34:M34"/>
  </mergeCells>
  <printOptions horizontalCentered="1"/>
  <pageMargins left="0.41" right="0.38" top="0.23622047244094491" bottom="0" header="0.31496062992125984" footer="0.31496062992125984"/>
  <pageSetup paperSize="9" scale="8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5" tint="0.39997558519241921"/>
  </sheetPr>
  <dimension ref="A1:N31"/>
  <sheetViews>
    <sheetView topLeftCell="A7" workbookViewId="0">
      <selection activeCell="O9" sqref="O9"/>
    </sheetView>
  </sheetViews>
  <sheetFormatPr defaultRowHeight="12.75" x14ac:dyDescent="0.2"/>
  <cols>
    <col min="1" max="1" width="6.140625" customWidth="1"/>
    <col min="2" max="3" width="14.5703125" customWidth="1"/>
    <col min="4" max="4" width="13.7109375" customWidth="1"/>
    <col min="5" max="5" width="8.85546875" customWidth="1"/>
    <col min="6" max="6" width="13.42578125" customWidth="1"/>
    <col min="7" max="7" width="11" customWidth="1"/>
    <col min="8" max="8" width="11.7109375" customWidth="1"/>
    <col min="9" max="9" width="11.5703125" customWidth="1"/>
    <col min="10" max="10" width="9.42578125" customWidth="1"/>
    <col min="11" max="11" width="13.140625" customWidth="1"/>
    <col min="12" max="12" width="10.7109375" customWidth="1"/>
  </cols>
  <sheetData>
    <row r="1" spans="1:14" x14ac:dyDescent="0.2">
      <c r="D1" s="24"/>
      <c r="E1" s="24"/>
      <c r="F1" s="24"/>
      <c r="G1" s="24"/>
      <c r="H1" s="24"/>
      <c r="I1" s="24"/>
      <c r="J1" s="24"/>
      <c r="K1" s="287" t="s">
        <v>498</v>
      </c>
      <c r="M1" s="286"/>
    </row>
    <row r="2" spans="1:14" ht="15" x14ac:dyDescent="0.2">
      <c r="A2" s="1152" t="s">
        <v>0</v>
      </c>
      <c r="B2" s="1152"/>
      <c r="C2" s="1152"/>
      <c r="D2" s="1152"/>
      <c r="E2" s="1152"/>
      <c r="F2" s="1152"/>
      <c r="G2" s="1152"/>
      <c r="H2" s="1152"/>
      <c r="I2" s="1152"/>
      <c r="J2" s="1152"/>
      <c r="K2" s="1152"/>
      <c r="L2" s="1152"/>
      <c r="M2" s="34"/>
    </row>
    <row r="3" spans="1:14" ht="20.25" x14ac:dyDescent="0.3">
      <c r="A3" s="1131" t="s">
        <v>788</v>
      </c>
      <c r="B3" s="1131"/>
      <c r="C3" s="1131"/>
      <c r="D3" s="1131"/>
      <c r="E3" s="1131"/>
      <c r="F3" s="1131"/>
      <c r="G3" s="1131"/>
      <c r="H3" s="1131"/>
      <c r="I3" s="1131"/>
      <c r="J3" s="1131"/>
      <c r="K3" s="1131"/>
      <c r="L3" s="1131"/>
      <c r="M3" s="33"/>
    </row>
    <row r="4" spans="1:14" ht="18" x14ac:dyDescent="0.25">
      <c r="A4" s="1160" t="s">
        <v>809</v>
      </c>
      <c r="B4" s="1160"/>
      <c r="C4" s="1160"/>
      <c r="D4" s="1160"/>
      <c r="E4" s="1160"/>
      <c r="F4" s="1160"/>
      <c r="G4" s="1160"/>
      <c r="H4" s="1160"/>
      <c r="I4" s="1160"/>
      <c r="J4" s="1160"/>
      <c r="K4" s="1160"/>
      <c r="L4" s="1160"/>
      <c r="M4" s="12"/>
    </row>
    <row r="5" spans="1:14" x14ac:dyDescent="0.2">
      <c r="A5" s="17"/>
      <c r="B5" s="17"/>
      <c r="C5" s="17"/>
      <c r="D5" s="17"/>
      <c r="E5" s="17"/>
      <c r="F5" s="17"/>
      <c r="G5" s="17"/>
      <c r="H5" s="17"/>
      <c r="I5" s="17"/>
      <c r="J5" s="17"/>
      <c r="K5" s="17"/>
      <c r="L5" s="17"/>
      <c r="M5" s="12"/>
    </row>
    <row r="6" spans="1:14" s="86" customFormat="1" x14ac:dyDescent="0.2">
      <c r="A6" s="1147" t="s">
        <v>456</v>
      </c>
      <c r="B6" s="1147"/>
      <c r="C6" s="1147"/>
      <c r="D6" s="462"/>
      <c r="E6" s="462"/>
      <c r="F6" s="462"/>
      <c r="G6" s="463"/>
      <c r="H6" s="464"/>
      <c r="I6" s="464"/>
      <c r="J6" s="1142" t="s">
        <v>801</v>
      </c>
      <c r="K6" s="1142"/>
      <c r="L6" s="1142"/>
      <c r="M6" s="12"/>
    </row>
    <row r="7" spans="1:14" ht="14.25" x14ac:dyDescent="0.2">
      <c r="A7" s="1145" t="s">
        <v>2</v>
      </c>
      <c r="B7" s="1145" t="s">
        <v>3</v>
      </c>
      <c r="C7" s="1165" t="s">
        <v>26</v>
      </c>
      <c r="D7" s="1166"/>
      <c r="E7" s="1166"/>
      <c r="F7" s="1166"/>
      <c r="G7" s="1166"/>
      <c r="H7" s="1175" t="s">
        <v>27</v>
      </c>
      <c r="I7" s="1175"/>
      <c r="J7" s="1175"/>
      <c r="K7" s="1175"/>
      <c r="L7" s="1175"/>
      <c r="M7" s="12"/>
      <c r="N7" s="38"/>
    </row>
    <row r="8" spans="1:14" ht="53.25" customHeight="1" x14ac:dyDescent="0.2">
      <c r="A8" s="1145"/>
      <c r="B8" s="1145"/>
      <c r="C8" s="780" t="s">
        <v>807</v>
      </c>
      <c r="D8" s="780" t="s">
        <v>808</v>
      </c>
      <c r="E8" s="189" t="s">
        <v>71</v>
      </c>
      <c r="F8" s="189" t="s">
        <v>72</v>
      </c>
      <c r="G8" s="667" t="s">
        <v>743</v>
      </c>
      <c r="H8" s="780" t="s">
        <v>807</v>
      </c>
      <c r="I8" s="780" t="s">
        <v>808</v>
      </c>
      <c r="J8" s="4" t="s">
        <v>71</v>
      </c>
      <c r="K8" s="4" t="s">
        <v>72</v>
      </c>
      <c r="L8" s="669" t="s">
        <v>744</v>
      </c>
      <c r="M8" s="12"/>
    </row>
    <row r="9" spans="1:14" x14ac:dyDescent="0.2">
      <c r="A9" s="189">
        <v>1</v>
      </c>
      <c r="B9" s="189">
        <v>2</v>
      </c>
      <c r="C9" s="189">
        <v>3</v>
      </c>
      <c r="D9" s="189">
        <v>4</v>
      </c>
      <c r="E9" s="189">
        <v>5</v>
      </c>
      <c r="F9" s="189">
        <v>6</v>
      </c>
      <c r="G9" s="189">
        <v>7</v>
      </c>
      <c r="H9" s="4">
        <v>8</v>
      </c>
      <c r="I9" s="4">
        <v>9</v>
      </c>
      <c r="J9" s="4">
        <v>10</v>
      </c>
      <c r="K9" s="4">
        <v>11</v>
      </c>
      <c r="L9" s="4">
        <v>12</v>
      </c>
      <c r="M9" s="11"/>
    </row>
    <row r="10" spans="1:14" ht="19.5" customHeight="1" x14ac:dyDescent="0.2">
      <c r="A10" s="188">
        <v>1</v>
      </c>
      <c r="B10" s="219" t="s">
        <v>386</v>
      </c>
      <c r="C10" s="1209" t="s">
        <v>400</v>
      </c>
      <c r="D10" s="1210"/>
      <c r="E10" s="1210"/>
      <c r="F10" s="1210"/>
      <c r="G10" s="1210"/>
      <c r="H10" s="1210"/>
      <c r="I10" s="1210"/>
      <c r="J10" s="1210"/>
      <c r="K10" s="1210"/>
      <c r="L10" s="1211"/>
      <c r="M10" s="12"/>
    </row>
    <row r="11" spans="1:14" ht="19.5" customHeight="1" x14ac:dyDescent="0.2">
      <c r="A11" s="188">
        <v>2</v>
      </c>
      <c r="B11" s="219" t="s">
        <v>387</v>
      </c>
      <c r="C11" s="1212"/>
      <c r="D11" s="1213"/>
      <c r="E11" s="1213"/>
      <c r="F11" s="1213"/>
      <c r="G11" s="1213"/>
      <c r="H11" s="1213"/>
      <c r="I11" s="1213"/>
      <c r="J11" s="1213"/>
      <c r="K11" s="1213"/>
      <c r="L11" s="1214"/>
      <c r="M11" s="12"/>
    </row>
    <row r="12" spans="1:14" ht="19.5" customHeight="1" x14ac:dyDescent="0.2">
      <c r="A12" s="188">
        <v>3</v>
      </c>
      <c r="B12" s="219" t="s">
        <v>388</v>
      </c>
      <c r="C12" s="1212"/>
      <c r="D12" s="1213"/>
      <c r="E12" s="1213"/>
      <c r="F12" s="1213"/>
      <c r="G12" s="1213"/>
      <c r="H12" s="1213"/>
      <c r="I12" s="1213"/>
      <c r="J12" s="1213"/>
      <c r="K12" s="1213"/>
      <c r="L12" s="1214"/>
      <c r="M12" s="12"/>
    </row>
    <row r="13" spans="1:14" ht="19.5" customHeight="1" x14ac:dyDescent="0.2">
      <c r="A13" s="188">
        <v>4</v>
      </c>
      <c r="B13" s="219" t="s">
        <v>389</v>
      </c>
      <c r="C13" s="1212"/>
      <c r="D13" s="1213"/>
      <c r="E13" s="1213"/>
      <c r="F13" s="1213"/>
      <c r="G13" s="1213"/>
      <c r="H13" s="1213"/>
      <c r="I13" s="1213"/>
      <c r="J13" s="1213"/>
      <c r="K13" s="1213"/>
      <c r="L13" s="1214"/>
      <c r="M13" s="12"/>
    </row>
    <row r="14" spans="1:14" ht="19.5" customHeight="1" x14ac:dyDescent="0.2">
      <c r="A14" s="188">
        <v>5</v>
      </c>
      <c r="B14" s="221" t="s">
        <v>390</v>
      </c>
      <c r="C14" s="1212"/>
      <c r="D14" s="1213"/>
      <c r="E14" s="1213"/>
      <c r="F14" s="1213"/>
      <c r="G14" s="1213"/>
      <c r="H14" s="1213"/>
      <c r="I14" s="1213"/>
      <c r="J14" s="1213"/>
      <c r="K14" s="1213"/>
      <c r="L14" s="1214"/>
      <c r="M14" s="12"/>
    </row>
    <row r="15" spans="1:14" ht="19.5" customHeight="1" x14ac:dyDescent="0.2">
      <c r="A15" s="188">
        <v>6</v>
      </c>
      <c r="B15" s="219" t="s">
        <v>391</v>
      </c>
      <c r="C15" s="1212"/>
      <c r="D15" s="1213"/>
      <c r="E15" s="1213"/>
      <c r="F15" s="1213"/>
      <c r="G15" s="1213"/>
      <c r="H15" s="1213"/>
      <c r="I15" s="1213"/>
      <c r="J15" s="1213"/>
      <c r="K15" s="1213"/>
      <c r="L15" s="1214"/>
      <c r="M15" s="12"/>
    </row>
    <row r="16" spans="1:14" ht="19.5" customHeight="1" x14ac:dyDescent="0.2">
      <c r="A16" s="188">
        <v>7</v>
      </c>
      <c r="B16" s="221" t="s">
        <v>392</v>
      </c>
      <c r="C16" s="1212"/>
      <c r="D16" s="1213"/>
      <c r="E16" s="1213"/>
      <c r="F16" s="1213"/>
      <c r="G16" s="1213"/>
      <c r="H16" s="1213"/>
      <c r="I16" s="1213"/>
      <c r="J16" s="1213"/>
      <c r="K16" s="1213"/>
      <c r="L16" s="1214"/>
      <c r="M16" s="12"/>
    </row>
    <row r="17" spans="1:13" ht="19.5" customHeight="1" x14ac:dyDescent="0.2">
      <c r="A17" s="188">
        <v>8</v>
      </c>
      <c r="B17" s="219" t="s">
        <v>393</v>
      </c>
      <c r="C17" s="1212"/>
      <c r="D17" s="1213"/>
      <c r="E17" s="1213"/>
      <c r="F17" s="1213"/>
      <c r="G17" s="1213"/>
      <c r="H17" s="1213"/>
      <c r="I17" s="1213"/>
      <c r="J17" s="1213"/>
      <c r="K17" s="1213"/>
      <c r="L17" s="1214"/>
      <c r="M17" s="12"/>
    </row>
    <row r="18" spans="1:13" ht="19.5" customHeight="1" x14ac:dyDescent="0.2">
      <c r="A18" s="188">
        <v>9</v>
      </c>
      <c r="B18" s="219" t="s">
        <v>394</v>
      </c>
      <c r="C18" s="1212"/>
      <c r="D18" s="1213"/>
      <c r="E18" s="1213"/>
      <c r="F18" s="1213"/>
      <c r="G18" s="1213"/>
      <c r="H18" s="1213"/>
      <c r="I18" s="1213"/>
      <c r="J18" s="1213"/>
      <c r="K18" s="1213"/>
      <c r="L18" s="1214"/>
      <c r="M18" s="12"/>
    </row>
    <row r="19" spans="1:13" ht="19.5" customHeight="1" x14ac:dyDescent="0.2">
      <c r="A19" s="188">
        <v>10</v>
      </c>
      <c r="B19" s="219" t="s">
        <v>395</v>
      </c>
      <c r="C19" s="1212"/>
      <c r="D19" s="1213"/>
      <c r="E19" s="1213"/>
      <c r="F19" s="1213"/>
      <c r="G19" s="1213"/>
      <c r="H19" s="1213"/>
      <c r="I19" s="1213"/>
      <c r="J19" s="1213"/>
      <c r="K19" s="1213"/>
      <c r="L19" s="1214"/>
      <c r="M19" s="12"/>
    </row>
    <row r="20" spans="1:13" ht="19.5" customHeight="1" x14ac:dyDescent="0.2">
      <c r="A20" s="188">
        <v>11</v>
      </c>
      <c r="B20" s="219" t="s">
        <v>396</v>
      </c>
      <c r="C20" s="1212"/>
      <c r="D20" s="1213"/>
      <c r="E20" s="1213"/>
      <c r="F20" s="1213"/>
      <c r="G20" s="1213"/>
      <c r="H20" s="1213"/>
      <c r="I20" s="1213"/>
      <c r="J20" s="1213"/>
      <c r="K20" s="1213"/>
      <c r="L20" s="1214"/>
      <c r="M20" s="12"/>
    </row>
    <row r="21" spans="1:13" ht="19.5" customHeight="1" x14ac:dyDescent="0.2">
      <c r="A21" s="188">
        <v>12</v>
      </c>
      <c r="B21" s="219" t="s">
        <v>397</v>
      </c>
      <c r="C21" s="1212"/>
      <c r="D21" s="1213"/>
      <c r="E21" s="1213"/>
      <c r="F21" s="1213"/>
      <c r="G21" s="1213"/>
      <c r="H21" s="1213"/>
      <c r="I21" s="1213"/>
      <c r="J21" s="1213"/>
      <c r="K21" s="1213"/>
      <c r="L21" s="1214"/>
      <c r="M21" s="12"/>
    </row>
    <row r="22" spans="1:13" ht="19.5" customHeight="1" x14ac:dyDescent="0.2">
      <c r="A22" s="188">
        <v>13</v>
      </c>
      <c r="B22" s="219" t="s">
        <v>398</v>
      </c>
      <c r="C22" s="1215"/>
      <c r="D22" s="1216"/>
      <c r="E22" s="1216"/>
      <c r="F22" s="1216"/>
      <c r="G22" s="1216"/>
      <c r="H22" s="1216"/>
      <c r="I22" s="1216"/>
      <c r="J22" s="1216"/>
      <c r="K22" s="1216"/>
      <c r="L22" s="1217"/>
      <c r="M22" s="12"/>
    </row>
    <row r="23" spans="1:13" ht="19.5" customHeight="1" x14ac:dyDescent="0.2">
      <c r="A23" s="188" t="s">
        <v>18</v>
      </c>
      <c r="B23" s="212"/>
      <c r="C23" s="14"/>
      <c r="D23" s="14"/>
      <c r="E23" s="14"/>
      <c r="F23" s="14"/>
      <c r="G23" s="14"/>
      <c r="H23" s="285"/>
      <c r="I23" s="285"/>
      <c r="J23" s="285"/>
      <c r="K23" s="285"/>
      <c r="L23" s="14"/>
      <c r="M23" s="12"/>
    </row>
    <row r="24" spans="1:13" x14ac:dyDescent="0.2">
      <c r="A24" s="15" t="s">
        <v>168</v>
      </c>
      <c r="B24" s="16"/>
      <c r="C24" s="16"/>
      <c r="D24" s="16"/>
      <c r="E24" s="16"/>
      <c r="F24" s="16"/>
      <c r="G24" s="16"/>
      <c r="H24" s="16"/>
      <c r="I24" s="16"/>
      <c r="J24" s="16"/>
      <c r="K24" s="16"/>
      <c r="L24" s="16"/>
      <c r="M24" s="12"/>
    </row>
    <row r="25" spans="1:13" x14ac:dyDescent="0.2">
      <c r="A25" s="15"/>
      <c r="B25" s="16"/>
      <c r="C25" s="16"/>
      <c r="D25" s="16"/>
      <c r="E25" s="16"/>
      <c r="F25" s="16"/>
      <c r="G25" s="16"/>
      <c r="H25" s="16"/>
      <c r="I25" s="16"/>
      <c r="J25" s="16"/>
      <c r="K25" s="16"/>
      <c r="L25" s="16"/>
      <c r="M25" s="12"/>
    </row>
    <row r="26" spans="1:13" x14ac:dyDescent="0.2">
      <c r="A26" s="11"/>
      <c r="B26" s="11"/>
      <c r="C26" s="11"/>
      <c r="D26" s="11"/>
      <c r="E26" s="11"/>
      <c r="F26" s="11"/>
      <c r="G26" s="11"/>
      <c r="H26" s="11"/>
      <c r="I26" s="11"/>
      <c r="J26" s="11"/>
      <c r="K26" s="11"/>
      <c r="L26" s="11"/>
      <c r="M26" s="12"/>
    </row>
    <row r="27" spans="1:13" x14ac:dyDescent="0.2">
      <c r="A27" s="1161" t="s">
        <v>12</v>
      </c>
      <c r="B27" s="1161"/>
      <c r="C27" s="1161"/>
      <c r="D27" s="1161"/>
      <c r="E27" s="1161"/>
      <c r="F27" s="1161"/>
      <c r="G27" s="1161"/>
      <c r="H27" s="1161"/>
      <c r="I27" s="1161"/>
      <c r="J27" s="1161"/>
      <c r="K27" s="1161"/>
      <c r="L27" s="1161"/>
      <c r="M27" s="12"/>
    </row>
    <row r="28" spans="1:13" x14ac:dyDescent="0.2">
      <c r="A28" s="1161" t="s">
        <v>13</v>
      </c>
      <c r="B28" s="1161"/>
      <c r="C28" s="1161"/>
      <c r="D28" s="1161"/>
      <c r="E28" s="1161"/>
      <c r="F28" s="1161"/>
      <c r="G28" s="1161"/>
      <c r="H28" s="1161"/>
      <c r="I28" s="1161"/>
      <c r="J28" s="1161"/>
      <c r="K28" s="1161"/>
      <c r="L28" s="1161"/>
      <c r="M28" s="12"/>
    </row>
    <row r="29" spans="1:13" x14ac:dyDescent="0.2">
      <c r="A29" s="1161" t="s">
        <v>19</v>
      </c>
      <c r="B29" s="1161"/>
      <c r="C29" s="1161"/>
      <c r="D29" s="1161"/>
      <c r="E29" s="1161"/>
      <c r="F29" s="1161"/>
      <c r="G29" s="1161"/>
      <c r="H29" s="1161"/>
      <c r="I29" s="1161"/>
      <c r="J29" s="1161"/>
      <c r="K29" s="1161"/>
      <c r="L29" s="1161"/>
      <c r="M29" s="12"/>
    </row>
    <row r="30" spans="1:13" x14ac:dyDescent="0.2">
      <c r="A30" s="11" t="s">
        <v>604</v>
      </c>
      <c r="B30" s="11"/>
      <c r="C30" s="11"/>
      <c r="D30" s="11"/>
      <c r="E30" s="11"/>
      <c r="F30" s="11"/>
      <c r="G30" s="12"/>
      <c r="H30" s="12"/>
      <c r="I30" s="12"/>
      <c r="J30" s="1075" t="s">
        <v>84</v>
      </c>
      <c r="K30" s="1075"/>
      <c r="L30" s="1075"/>
      <c r="M30" s="1075"/>
    </row>
    <row r="31" spans="1:13" x14ac:dyDescent="0.2">
      <c r="A31" s="11"/>
      <c r="B31" s="12"/>
      <c r="C31" s="12"/>
      <c r="D31" s="12"/>
      <c r="E31" s="12"/>
      <c r="F31" s="12"/>
      <c r="G31" s="12"/>
      <c r="H31" s="12"/>
      <c r="I31" s="12"/>
      <c r="J31" s="12"/>
      <c r="K31" s="12"/>
      <c r="L31" s="12"/>
      <c r="M31" s="12"/>
    </row>
  </sheetData>
  <mergeCells count="14">
    <mergeCell ref="J30:M30"/>
    <mergeCell ref="A7:A8"/>
    <mergeCell ref="B7:B8"/>
    <mergeCell ref="C7:G7"/>
    <mergeCell ref="H7:L7"/>
    <mergeCell ref="A27:L27"/>
    <mergeCell ref="A28:L28"/>
    <mergeCell ref="C10:L22"/>
    <mergeCell ref="A2:L2"/>
    <mergeCell ref="A3:L3"/>
    <mergeCell ref="A4:L4"/>
    <mergeCell ref="A29:L29"/>
    <mergeCell ref="A6:C6"/>
    <mergeCell ref="J6:L6"/>
  </mergeCells>
  <printOptions horizontalCentered="1"/>
  <pageMargins left="0.26" right="0.23" top="0.28999999999999998" bottom="0.42" header="0.17"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39997558519241921"/>
    <pageSetUpPr fitToPage="1"/>
  </sheetPr>
  <dimension ref="A1:V34"/>
  <sheetViews>
    <sheetView view="pageBreakPreview" topLeftCell="A14" zoomScaleNormal="100" zoomScaleSheetLayoutView="100" workbookViewId="0">
      <selection activeCell="N27" activeCellId="1" sqref="E27 N27"/>
    </sheetView>
  </sheetViews>
  <sheetFormatPr defaultRowHeight="12.75" x14ac:dyDescent="0.2"/>
  <cols>
    <col min="1" max="1" width="7.42578125" style="12" customWidth="1"/>
    <col min="2" max="2" width="17.140625" style="12" customWidth="1"/>
    <col min="3" max="3" width="8.7109375" style="12" customWidth="1"/>
    <col min="4" max="4" width="7.42578125" style="12" customWidth="1"/>
    <col min="5" max="5" width="8.140625" style="12" customWidth="1"/>
    <col min="6" max="7" width="7.28515625" style="12" customWidth="1"/>
    <col min="8" max="8" width="8.140625" style="12" customWidth="1"/>
    <col min="9" max="9" width="9.28515625" style="12" customWidth="1"/>
    <col min="10" max="10" width="7.140625" style="12" customWidth="1"/>
    <col min="11" max="11" width="8" style="12" customWidth="1"/>
    <col min="12" max="12" width="8.7109375" style="12" customWidth="1"/>
    <col min="13" max="13" width="7.85546875" style="12" customWidth="1"/>
    <col min="14" max="14" width="8.28515625" style="12" customWidth="1"/>
    <col min="15" max="15" width="9.28515625" style="12" customWidth="1"/>
    <col min="16" max="16" width="9.140625" style="12" customWidth="1"/>
    <col min="17" max="17" width="8.85546875" style="12" customWidth="1"/>
    <col min="18" max="18" width="9.140625" style="12"/>
    <col min="19" max="22" width="7.42578125" style="12" customWidth="1"/>
    <col min="23" max="16384" width="9.140625" style="12"/>
  </cols>
  <sheetData>
    <row r="1" spans="1:22" customFormat="1" ht="15" x14ac:dyDescent="0.2">
      <c r="H1" s="24"/>
      <c r="I1" s="24"/>
      <c r="J1" s="24"/>
      <c r="K1" s="24"/>
      <c r="L1" s="24"/>
      <c r="M1" s="24"/>
      <c r="N1" s="24"/>
      <c r="O1" s="24"/>
      <c r="P1" s="1225" t="s">
        <v>65</v>
      </c>
      <c r="Q1" s="1225"/>
      <c r="S1" s="12"/>
      <c r="T1" s="32"/>
      <c r="U1" s="32"/>
    </row>
    <row r="2" spans="1:22" customFormat="1" ht="15" x14ac:dyDescent="0.2">
      <c r="A2" s="1152" t="s">
        <v>0</v>
      </c>
      <c r="B2" s="1152"/>
      <c r="C2" s="1152"/>
      <c r="D2" s="1152"/>
      <c r="E2" s="1152"/>
      <c r="F2" s="1152"/>
      <c r="G2" s="1152"/>
      <c r="H2" s="1152"/>
      <c r="I2" s="1152"/>
      <c r="J2" s="1152"/>
      <c r="K2" s="1152"/>
      <c r="L2" s="1152"/>
      <c r="M2" s="1152"/>
      <c r="N2" s="1152"/>
      <c r="O2" s="1152"/>
      <c r="P2" s="1152"/>
      <c r="Q2" s="1152"/>
      <c r="R2" s="34"/>
      <c r="S2" s="34"/>
      <c r="T2" s="34"/>
      <c r="U2" s="34"/>
    </row>
    <row r="3" spans="1:22" customFormat="1" ht="20.25" x14ac:dyDescent="0.3">
      <c r="A3" s="1131" t="s">
        <v>788</v>
      </c>
      <c r="B3" s="1131"/>
      <c r="C3" s="1131"/>
      <c r="D3" s="1131"/>
      <c r="E3" s="1131"/>
      <c r="F3" s="1131"/>
      <c r="G3" s="1131"/>
      <c r="H3" s="1131"/>
      <c r="I3" s="1131"/>
      <c r="J3" s="1131"/>
      <c r="K3" s="1131"/>
      <c r="L3" s="1131"/>
      <c r="M3" s="1131"/>
      <c r="N3" s="1131"/>
      <c r="O3" s="1131"/>
      <c r="P3" s="1131"/>
      <c r="Q3" s="1131"/>
      <c r="R3" s="33"/>
      <c r="S3" s="33"/>
      <c r="T3" s="33"/>
      <c r="U3" s="33"/>
    </row>
    <row r="4" spans="1:22" ht="18" customHeight="1" x14ac:dyDescent="0.25">
      <c r="A4" s="1160" t="s">
        <v>868</v>
      </c>
      <c r="B4" s="1160"/>
      <c r="C4" s="1160"/>
      <c r="D4" s="1160"/>
      <c r="E4" s="1160"/>
      <c r="F4" s="1160"/>
      <c r="G4" s="1160"/>
      <c r="H4" s="1160"/>
      <c r="I4" s="1160"/>
      <c r="J4" s="1160"/>
      <c r="K4" s="1160"/>
      <c r="L4" s="1160"/>
      <c r="M4" s="1160"/>
      <c r="N4" s="1160"/>
      <c r="O4" s="1160"/>
      <c r="P4" s="1160"/>
      <c r="Q4" s="1160"/>
    </row>
    <row r="5" spans="1:22" ht="9.75" customHeight="1" x14ac:dyDescent="0.2"/>
    <row r="6" spans="1:22" ht="0.75" customHeight="1" x14ac:dyDescent="0.2"/>
    <row r="7" spans="1:22" x14ac:dyDescent="0.2">
      <c r="O7" s="22" t="s">
        <v>24</v>
      </c>
      <c r="R7" s="16"/>
      <c r="S7" s="16"/>
    </row>
    <row r="8" spans="1:22" s="451" customFormat="1" ht="12" x14ac:dyDescent="0.2">
      <c r="A8" s="1147" t="s">
        <v>456</v>
      </c>
      <c r="B8" s="1147"/>
      <c r="C8" s="1147"/>
      <c r="N8" s="1226" t="s">
        <v>801</v>
      </c>
      <c r="O8" s="1226"/>
      <c r="P8" s="1226"/>
      <c r="Q8" s="1226"/>
    </row>
    <row r="9" spans="1:22" ht="37.15" customHeight="1" x14ac:dyDescent="0.2">
      <c r="A9" s="1136" t="s">
        <v>2</v>
      </c>
      <c r="B9" s="1136" t="s">
        <v>3</v>
      </c>
      <c r="C9" s="1145" t="s">
        <v>871</v>
      </c>
      <c r="D9" s="1145"/>
      <c r="E9" s="1145"/>
      <c r="F9" s="1145" t="s">
        <v>870</v>
      </c>
      <c r="G9" s="1145"/>
      <c r="H9" s="1145"/>
      <c r="I9" s="1221" t="s">
        <v>189</v>
      </c>
      <c r="J9" s="1222"/>
      <c r="K9" s="1223"/>
      <c r="L9" s="1221" t="s">
        <v>96</v>
      </c>
      <c r="M9" s="1222"/>
      <c r="N9" s="1223"/>
      <c r="O9" s="1218" t="s">
        <v>869</v>
      </c>
      <c r="P9" s="1219"/>
      <c r="Q9" s="1220"/>
    </row>
    <row r="10" spans="1:22" ht="39.75" customHeight="1" x14ac:dyDescent="0.2">
      <c r="A10" s="1137"/>
      <c r="B10" s="1137"/>
      <c r="C10" s="189" t="s">
        <v>190</v>
      </c>
      <c r="D10" s="189" t="s">
        <v>499</v>
      </c>
      <c r="E10" s="189" t="s">
        <v>18</v>
      </c>
      <c r="F10" s="189" t="s">
        <v>190</v>
      </c>
      <c r="G10" s="189" t="s">
        <v>499</v>
      </c>
      <c r="H10" s="189" t="s">
        <v>18</v>
      </c>
      <c r="I10" s="631" t="s">
        <v>716</v>
      </c>
      <c r="J10" s="189" t="s">
        <v>499</v>
      </c>
      <c r="K10" s="189" t="s">
        <v>92</v>
      </c>
      <c r="L10" s="189" t="s">
        <v>190</v>
      </c>
      <c r="M10" s="189" t="s">
        <v>499</v>
      </c>
      <c r="N10" s="189" t="s">
        <v>92</v>
      </c>
      <c r="O10" s="582" t="s">
        <v>706</v>
      </c>
      <c r="P10" s="582" t="s">
        <v>707</v>
      </c>
      <c r="Q10" s="189" t="s">
        <v>401</v>
      </c>
    </row>
    <row r="11" spans="1:22" s="50" customFormat="1" x14ac:dyDescent="0.2">
      <c r="A11" s="244">
        <v>1</v>
      </c>
      <c r="B11" s="244">
        <v>2</v>
      </c>
      <c r="C11" s="244">
        <v>3</v>
      </c>
      <c r="D11" s="244">
        <v>4</v>
      </c>
      <c r="E11" s="244">
        <v>5</v>
      </c>
      <c r="F11" s="244">
        <v>6</v>
      </c>
      <c r="G11" s="244">
        <v>7</v>
      </c>
      <c r="H11" s="244">
        <v>8</v>
      </c>
      <c r="I11" s="244">
        <v>9</v>
      </c>
      <c r="J11" s="244">
        <v>10</v>
      </c>
      <c r="K11" s="244">
        <v>11</v>
      </c>
      <c r="L11" s="244">
        <v>12</v>
      </c>
      <c r="M11" s="244">
        <v>13</v>
      </c>
      <c r="N11" s="244">
        <v>14</v>
      </c>
      <c r="O11" s="244">
        <v>15</v>
      </c>
      <c r="P11" s="244">
        <v>16</v>
      </c>
      <c r="Q11" s="244">
        <v>17</v>
      </c>
      <c r="R11" s="583"/>
      <c r="S11" s="721"/>
      <c r="T11" s="583"/>
    </row>
    <row r="12" spans="1:22" ht="24.95" customHeight="1" x14ac:dyDescent="0.2">
      <c r="A12" s="188">
        <v>1</v>
      </c>
      <c r="B12" s="219" t="s">
        <v>386</v>
      </c>
      <c r="C12" s="197">
        <v>220.22996800000001</v>
      </c>
      <c r="D12" s="197">
        <v>24.782912000000003</v>
      </c>
      <c r="E12" s="197">
        <f>C12+D12</f>
        <v>245.01288000000002</v>
      </c>
      <c r="F12" s="197">
        <v>28.430583599999977</v>
      </c>
      <c r="G12" s="197">
        <v>3.1334782999999966</v>
      </c>
      <c r="H12" s="197">
        <f>F12+G12</f>
        <v>31.564061899999974</v>
      </c>
      <c r="I12" s="197">
        <v>191.7983844</v>
      </c>
      <c r="J12" s="197">
        <v>21.649433700000007</v>
      </c>
      <c r="K12" s="197">
        <f>I12+J12</f>
        <v>213.44781810000001</v>
      </c>
      <c r="L12" s="197">
        <v>188.57047620000003</v>
      </c>
      <c r="M12" s="197">
        <v>20.9358754</v>
      </c>
      <c r="N12" s="197">
        <f>L12+M12</f>
        <v>209.50635160000002</v>
      </c>
      <c r="O12" s="197">
        <f>F12+I12-L12</f>
        <v>31.65849179999995</v>
      </c>
      <c r="P12" s="245">
        <f>G12+J12-M12</f>
        <v>3.8470366000000027</v>
      </c>
      <c r="Q12" s="197">
        <f>H12+K12-N12</f>
        <v>35.505528399999974</v>
      </c>
      <c r="R12" s="583"/>
      <c r="S12" s="139">
        <f>F12+I12</f>
        <v>220.22896799999998</v>
      </c>
      <c r="T12" s="139">
        <f>G12+J12</f>
        <v>24.782912000000003</v>
      </c>
      <c r="U12" s="877">
        <f>D12-T12</f>
        <v>0</v>
      </c>
      <c r="V12" s="50"/>
    </row>
    <row r="13" spans="1:22" ht="24.95" customHeight="1" x14ac:dyDescent="0.2">
      <c r="A13" s="188">
        <v>2</v>
      </c>
      <c r="B13" s="219" t="s">
        <v>387</v>
      </c>
      <c r="C13" s="197">
        <v>109.3890925</v>
      </c>
      <c r="D13" s="197">
        <v>12.30977</v>
      </c>
      <c r="E13" s="197">
        <f t="shared" ref="E13:E24" si="0">C13+D13</f>
        <v>121.6988625</v>
      </c>
      <c r="F13" s="197">
        <v>14.86675679999999</v>
      </c>
      <c r="G13" s="197">
        <v>1.6385404000000001</v>
      </c>
      <c r="H13" s="197">
        <f t="shared" ref="H13:H24" si="1">F13+G13</f>
        <v>16.50529719999999</v>
      </c>
      <c r="I13" s="197">
        <v>94.522335700000014</v>
      </c>
      <c r="J13" s="197">
        <v>10.6712296</v>
      </c>
      <c r="K13" s="197">
        <f t="shared" ref="K13:K24" si="2">I13+J13</f>
        <v>105.19356530000002</v>
      </c>
      <c r="L13" s="197">
        <v>94.184193699999994</v>
      </c>
      <c r="M13" s="197">
        <v>10.457917699999999</v>
      </c>
      <c r="N13" s="197">
        <f t="shared" ref="N13:N24" si="3">L13+M13</f>
        <v>104.64211139999999</v>
      </c>
      <c r="O13" s="197">
        <f t="shared" ref="O13:O23" si="4">F13+I13-L13</f>
        <v>15.204898800000009</v>
      </c>
      <c r="P13" s="197">
        <f t="shared" ref="P13:P24" si="5">G13+J13-M13</f>
        <v>1.8518523000000009</v>
      </c>
      <c r="Q13" s="197">
        <f t="shared" ref="Q13:Q24" si="6">H13+K13-N13</f>
        <v>17.056751100000014</v>
      </c>
      <c r="R13" s="583"/>
      <c r="S13" s="139">
        <f t="shared" ref="S13:S25" si="7">F13+I13</f>
        <v>109.3890925</v>
      </c>
      <c r="T13" s="139">
        <f t="shared" ref="T13:T25" si="8">G13+J13</f>
        <v>12.30977</v>
      </c>
      <c r="U13" s="877">
        <f t="shared" ref="U13:U25" si="9">D13-T13</f>
        <v>0</v>
      </c>
      <c r="V13" s="50"/>
    </row>
    <row r="14" spans="1:22" ht="24.95" customHeight="1" x14ac:dyDescent="0.2">
      <c r="A14" s="188">
        <v>3</v>
      </c>
      <c r="B14" s="219" t="s">
        <v>388</v>
      </c>
      <c r="C14" s="197">
        <v>177.87098300000002</v>
      </c>
      <c r="D14" s="197">
        <v>20.016172000000005</v>
      </c>
      <c r="E14" s="197">
        <f t="shared" si="0"/>
        <v>197.88715500000004</v>
      </c>
      <c r="F14" s="197">
        <v>14.425602000000026</v>
      </c>
      <c r="G14" s="197">
        <v>1.5899184999999996</v>
      </c>
      <c r="H14" s="197">
        <f t="shared" si="1"/>
        <v>16.015520500000026</v>
      </c>
      <c r="I14" s="197">
        <v>163.445381</v>
      </c>
      <c r="J14" s="197">
        <v>18.426253500000005</v>
      </c>
      <c r="K14" s="197">
        <f t="shared" si="2"/>
        <v>181.8716345</v>
      </c>
      <c r="L14" s="197">
        <v>162.7360328</v>
      </c>
      <c r="M14" s="197">
        <v>18.072019100000002</v>
      </c>
      <c r="N14" s="197">
        <f t="shared" si="3"/>
        <v>180.80805190000001</v>
      </c>
      <c r="O14" s="197">
        <f t="shared" si="4"/>
        <v>15.13495020000002</v>
      </c>
      <c r="P14" s="197">
        <f t="shared" si="5"/>
        <v>1.9441529000000024</v>
      </c>
      <c r="Q14" s="197">
        <f t="shared" si="6"/>
        <v>17.079103100000026</v>
      </c>
      <c r="R14" s="583"/>
      <c r="S14" s="875">
        <f t="shared" si="7"/>
        <v>177.87098300000002</v>
      </c>
      <c r="T14" s="139">
        <f t="shared" si="8"/>
        <v>20.016172000000005</v>
      </c>
      <c r="U14" s="877">
        <f t="shared" si="9"/>
        <v>0</v>
      </c>
      <c r="V14" s="50"/>
    </row>
    <row r="15" spans="1:22" ht="24.95" customHeight="1" x14ac:dyDescent="0.2">
      <c r="A15" s="188">
        <v>4</v>
      </c>
      <c r="B15" s="219" t="s">
        <v>389</v>
      </c>
      <c r="C15" s="197">
        <v>106.76118150000001</v>
      </c>
      <c r="D15" s="197">
        <v>12.014046</v>
      </c>
      <c r="E15" s="197">
        <f t="shared" si="0"/>
        <v>118.7752275</v>
      </c>
      <c r="F15" s="197">
        <v>16.085763599999993</v>
      </c>
      <c r="G15" s="197">
        <v>1.772893299999998</v>
      </c>
      <c r="H15" s="197">
        <f t="shared" si="1"/>
        <v>17.858656899999993</v>
      </c>
      <c r="I15" s="197">
        <v>90.675417900000014</v>
      </c>
      <c r="J15" s="197">
        <v>10.241152700000002</v>
      </c>
      <c r="K15" s="197">
        <f t="shared" si="2"/>
        <v>100.91657060000001</v>
      </c>
      <c r="L15" s="197">
        <v>88.280357700000025</v>
      </c>
      <c r="M15" s="197">
        <v>9.7989552999999994</v>
      </c>
      <c r="N15" s="197">
        <f t="shared" si="3"/>
        <v>98.079313000000028</v>
      </c>
      <c r="O15" s="197">
        <f t="shared" si="4"/>
        <v>18.480823799999982</v>
      </c>
      <c r="P15" s="197">
        <f t="shared" si="5"/>
        <v>2.2150907000000011</v>
      </c>
      <c r="Q15" s="197">
        <f t="shared" si="6"/>
        <v>20.695914499999972</v>
      </c>
      <c r="R15" s="583"/>
      <c r="S15" s="139">
        <f t="shared" si="7"/>
        <v>106.76118150000001</v>
      </c>
      <c r="T15" s="139">
        <f t="shared" si="8"/>
        <v>12.014046</v>
      </c>
      <c r="U15" s="877">
        <f t="shared" si="9"/>
        <v>0</v>
      </c>
      <c r="V15" s="50"/>
    </row>
    <row r="16" spans="1:22" ht="24.95" customHeight="1" x14ac:dyDescent="0.2">
      <c r="A16" s="188">
        <v>5</v>
      </c>
      <c r="B16" s="221" t="s">
        <v>390</v>
      </c>
      <c r="C16" s="197">
        <v>340.10313900000011</v>
      </c>
      <c r="D16" s="197">
        <v>38.272476000000005</v>
      </c>
      <c r="E16" s="197">
        <f t="shared" si="0"/>
        <v>378.3756150000001</v>
      </c>
      <c r="F16" s="197">
        <v>36.035061999999982</v>
      </c>
      <c r="G16" s="197">
        <v>3.9679234999999977</v>
      </c>
      <c r="H16" s="197">
        <f t="shared" si="1"/>
        <v>40.00298549999998</v>
      </c>
      <c r="I16" s="197">
        <v>304.06807700000013</v>
      </c>
      <c r="J16" s="197">
        <v>34.304552500000007</v>
      </c>
      <c r="K16" s="197">
        <f t="shared" si="2"/>
        <v>338.37262950000013</v>
      </c>
      <c r="L16" s="197">
        <v>286.1238591</v>
      </c>
      <c r="M16" s="197">
        <v>31.777707099999997</v>
      </c>
      <c r="N16" s="197">
        <f t="shared" si="3"/>
        <v>317.90156619999999</v>
      </c>
      <c r="O16" s="197">
        <f t="shared" si="4"/>
        <v>53.979279900000108</v>
      </c>
      <c r="P16" s="197">
        <f t="shared" si="5"/>
        <v>6.4947689000000075</v>
      </c>
      <c r="Q16" s="197">
        <f t="shared" si="6"/>
        <v>60.474048800000105</v>
      </c>
      <c r="R16" s="583"/>
      <c r="S16" s="876">
        <f t="shared" si="7"/>
        <v>340.10313900000011</v>
      </c>
      <c r="T16" s="139">
        <f t="shared" si="8"/>
        <v>38.272476000000005</v>
      </c>
      <c r="U16" s="877">
        <f t="shared" si="9"/>
        <v>0</v>
      </c>
      <c r="V16" s="50"/>
    </row>
    <row r="17" spans="1:22" ht="26.25" customHeight="1" x14ac:dyDescent="0.2">
      <c r="A17" s="188">
        <v>6</v>
      </c>
      <c r="B17" s="219" t="s">
        <v>391</v>
      </c>
      <c r="C17" s="197">
        <v>635.50422550000008</v>
      </c>
      <c r="D17" s="197">
        <v>71.514542000000006</v>
      </c>
      <c r="E17" s="197">
        <f t="shared" si="0"/>
        <v>707.01876750000008</v>
      </c>
      <c r="F17" s="197">
        <v>122.07</v>
      </c>
      <c r="G17" s="197">
        <v>13.46</v>
      </c>
      <c r="H17" s="197">
        <f t="shared" si="1"/>
        <v>135.53</v>
      </c>
      <c r="I17" s="197">
        <v>513.43422550000014</v>
      </c>
      <c r="J17" s="197">
        <v>58.054541999999998</v>
      </c>
      <c r="K17" s="197">
        <f>I17+J17</f>
        <v>571.48876750000011</v>
      </c>
      <c r="L17" s="197">
        <v>549.84902600000009</v>
      </c>
      <c r="M17" s="197">
        <v>61.096557799999999</v>
      </c>
      <c r="N17" s="197">
        <f t="shared" si="3"/>
        <v>610.94558380000012</v>
      </c>
      <c r="O17" s="197">
        <f t="shared" si="4"/>
        <v>85.655199499999981</v>
      </c>
      <c r="P17" s="197">
        <f t="shared" si="5"/>
        <v>10.417984200000006</v>
      </c>
      <c r="Q17" s="197">
        <f t="shared" si="6"/>
        <v>96.073183699999959</v>
      </c>
      <c r="R17" s="583"/>
      <c r="S17" s="139">
        <f t="shared" si="7"/>
        <v>635.50422550000008</v>
      </c>
      <c r="T17" s="139">
        <f t="shared" si="8"/>
        <v>71.514542000000006</v>
      </c>
      <c r="U17" s="877">
        <f t="shared" si="9"/>
        <v>0</v>
      </c>
      <c r="V17" s="50"/>
    </row>
    <row r="18" spans="1:22" ht="24.95" customHeight="1" x14ac:dyDescent="0.2">
      <c r="A18" s="188">
        <v>7</v>
      </c>
      <c r="B18" s="221" t="s">
        <v>392</v>
      </c>
      <c r="C18" s="197">
        <v>300.60177750000008</v>
      </c>
      <c r="D18" s="197">
        <v>33.827310000000004</v>
      </c>
      <c r="E18" s="197">
        <f t="shared" si="0"/>
        <v>334.42908750000009</v>
      </c>
      <c r="F18" s="197">
        <v>13.68163919999995</v>
      </c>
      <c r="G18" s="197">
        <v>1.5079226000000006</v>
      </c>
      <c r="H18" s="197">
        <f t="shared" si="1"/>
        <v>15.18956179999995</v>
      </c>
      <c r="I18" s="197">
        <v>286.92013830000013</v>
      </c>
      <c r="J18" s="197">
        <v>32.319387400000004</v>
      </c>
      <c r="K18" s="197">
        <f t="shared" si="2"/>
        <v>319.23952570000012</v>
      </c>
      <c r="L18" s="197">
        <v>258.49152060000006</v>
      </c>
      <c r="M18" s="197">
        <v>28.716044199999999</v>
      </c>
      <c r="N18" s="197">
        <f t="shared" si="3"/>
        <v>287.20756480000006</v>
      </c>
      <c r="O18" s="197">
        <f t="shared" si="4"/>
        <v>42.110256900000024</v>
      </c>
      <c r="P18" s="197">
        <f t="shared" si="5"/>
        <v>5.1112658000000053</v>
      </c>
      <c r="Q18" s="197">
        <f t="shared" si="6"/>
        <v>47.22152269999998</v>
      </c>
      <c r="R18" s="583"/>
      <c r="S18" s="139">
        <f t="shared" si="7"/>
        <v>300.60177750000008</v>
      </c>
      <c r="T18" s="139">
        <f t="shared" si="8"/>
        <v>33.827310000000004</v>
      </c>
      <c r="U18" s="877">
        <f t="shared" si="9"/>
        <v>0</v>
      </c>
      <c r="V18" s="50"/>
    </row>
    <row r="19" spans="1:22" ht="24.95" customHeight="1" x14ac:dyDescent="0.2">
      <c r="A19" s="188">
        <v>8</v>
      </c>
      <c r="B19" s="219" t="s">
        <v>393</v>
      </c>
      <c r="C19" s="197">
        <v>222.42601950000005</v>
      </c>
      <c r="D19" s="197">
        <v>25.030038000000001</v>
      </c>
      <c r="E19" s="197">
        <f t="shared" si="0"/>
        <v>247.45605750000004</v>
      </c>
      <c r="F19" s="197">
        <v>27.280619999999999</v>
      </c>
      <c r="G19" s="197">
        <v>3.0067349999999955</v>
      </c>
      <c r="H19" s="197">
        <f t="shared" si="1"/>
        <v>30.287354999999994</v>
      </c>
      <c r="I19" s="197">
        <v>195.14539950000005</v>
      </c>
      <c r="J19" s="197">
        <v>22.023303000000006</v>
      </c>
      <c r="K19" s="197">
        <f t="shared" si="2"/>
        <v>217.16870250000005</v>
      </c>
      <c r="L19" s="197">
        <v>186.93590690000002</v>
      </c>
      <c r="M19" s="197">
        <v>20.758915600000002</v>
      </c>
      <c r="N19" s="197">
        <f t="shared" si="3"/>
        <v>207.69482250000001</v>
      </c>
      <c r="O19" s="197">
        <f t="shared" si="4"/>
        <v>35.490112600000032</v>
      </c>
      <c r="P19" s="197">
        <f t="shared" si="5"/>
        <v>4.2711223999999994</v>
      </c>
      <c r="Q19" s="197">
        <f t="shared" si="6"/>
        <v>39.761235000000028</v>
      </c>
      <c r="R19" s="583"/>
      <c r="S19" s="139">
        <f t="shared" si="7"/>
        <v>222.42601950000005</v>
      </c>
      <c r="T19" s="139">
        <f t="shared" si="8"/>
        <v>25.030038000000001</v>
      </c>
      <c r="U19" s="877">
        <f t="shared" si="9"/>
        <v>0</v>
      </c>
      <c r="V19" s="50"/>
    </row>
    <row r="20" spans="1:22" ht="24.95" customHeight="1" x14ac:dyDescent="0.2">
      <c r="A20" s="188">
        <v>9</v>
      </c>
      <c r="B20" s="219" t="s">
        <v>394</v>
      </c>
      <c r="C20" s="197">
        <v>158.758903</v>
      </c>
      <c r="D20" s="197">
        <v>17.865452000000001</v>
      </c>
      <c r="E20" s="197">
        <f t="shared" si="0"/>
        <v>176.62435500000001</v>
      </c>
      <c r="F20" s="197">
        <v>16.040900400000027</v>
      </c>
      <c r="G20" s="197">
        <v>1.767948699999998</v>
      </c>
      <c r="H20" s="197">
        <f t="shared" si="1"/>
        <v>17.808849100000025</v>
      </c>
      <c r="I20" s="197">
        <v>142.71800259999998</v>
      </c>
      <c r="J20" s="197">
        <v>16.097503300000003</v>
      </c>
      <c r="K20" s="197">
        <f t="shared" si="2"/>
        <v>158.81550589999998</v>
      </c>
      <c r="L20" s="197">
        <v>145.23234410000003</v>
      </c>
      <c r="M20" s="197">
        <v>16.1199823</v>
      </c>
      <c r="N20" s="197">
        <f t="shared" si="3"/>
        <v>161.35232640000004</v>
      </c>
      <c r="O20" s="197">
        <f t="shared" si="4"/>
        <v>13.526558899999969</v>
      </c>
      <c r="P20" s="197">
        <f t="shared" si="5"/>
        <v>1.745469700000001</v>
      </c>
      <c r="Q20" s="197">
        <f t="shared" si="6"/>
        <v>15.27202859999997</v>
      </c>
      <c r="R20" s="583"/>
      <c r="S20" s="139">
        <f t="shared" si="7"/>
        <v>158.758903</v>
      </c>
      <c r="T20" s="139">
        <f t="shared" si="8"/>
        <v>17.865452000000001</v>
      </c>
      <c r="U20" s="877">
        <f t="shared" si="9"/>
        <v>0</v>
      </c>
      <c r="V20" s="50"/>
    </row>
    <row r="21" spans="1:22" ht="24.95" customHeight="1" x14ac:dyDescent="0.2">
      <c r="A21" s="188">
        <v>10</v>
      </c>
      <c r="B21" s="219" t="s">
        <v>395</v>
      </c>
      <c r="C21" s="197">
        <v>112.72451800000002</v>
      </c>
      <c r="D21" s="197">
        <v>12.685112</v>
      </c>
      <c r="E21" s="197">
        <f t="shared" si="0"/>
        <v>125.40963000000002</v>
      </c>
      <c r="F21" s="197">
        <v>9.6771336000000048</v>
      </c>
      <c r="G21" s="197">
        <v>1.0665657999999993</v>
      </c>
      <c r="H21" s="197">
        <f t="shared" si="1"/>
        <v>10.743699400000004</v>
      </c>
      <c r="I21" s="197">
        <v>103.04738440000001</v>
      </c>
      <c r="J21" s="197">
        <v>11.618546200000001</v>
      </c>
      <c r="K21" s="197">
        <f t="shared" si="2"/>
        <v>114.66593060000001</v>
      </c>
      <c r="L21" s="197">
        <v>100.07456760000001</v>
      </c>
      <c r="M21" s="197">
        <v>11.113531399999999</v>
      </c>
      <c r="N21" s="197">
        <f t="shared" si="3"/>
        <v>111.18809900000001</v>
      </c>
      <c r="O21" s="197">
        <f t="shared" si="4"/>
        <v>12.649950400000009</v>
      </c>
      <c r="P21" s="197">
        <f t="shared" si="5"/>
        <v>1.5715806000000008</v>
      </c>
      <c r="Q21" s="197">
        <f t="shared" si="6"/>
        <v>14.221531000000013</v>
      </c>
      <c r="R21" s="583"/>
      <c r="S21" s="876">
        <f t="shared" si="7"/>
        <v>112.72451800000002</v>
      </c>
      <c r="T21" s="139">
        <f t="shared" si="8"/>
        <v>12.685112</v>
      </c>
      <c r="U21" s="877">
        <f t="shared" si="9"/>
        <v>0</v>
      </c>
      <c r="V21" s="50"/>
    </row>
    <row r="22" spans="1:22" ht="24.95" customHeight="1" x14ac:dyDescent="0.2">
      <c r="A22" s="188">
        <v>11</v>
      </c>
      <c r="B22" s="219" t="s">
        <v>396</v>
      </c>
      <c r="C22" s="197">
        <v>260.67774500000002</v>
      </c>
      <c r="D22" s="197">
        <v>29.334580000000003</v>
      </c>
      <c r="E22" s="197">
        <f t="shared" si="0"/>
        <v>290.01232500000003</v>
      </c>
      <c r="F22" s="197">
        <v>40.307911199999978</v>
      </c>
      <c r="G22" s="197">
        <v>4.4425385999999953</v>
      </c>
      <c r="H22" s="197">
        <f t="shared" si="1"/>
        <v>44.75044979999997</v>
      </c>
      <c r="I22" s="197">
        <v>220.36983380000004</v>
      </c>
      <c r="J22" s="197">
        <v>24.892041400000007</v>
      </c>
      <c r="K22" s="197">
        <f t="shared" si="2"/>
        <v>245.26187520000005</v>
      </c>
      <c r="L22" s="197">
        <v>224.14989830000002</v>
      </c>
      <c r="M22" s="197">
        <v>24.8951192</v>
      </c>
      <c r="N22" s="197">
        <f t="shared" si="3"/>
        <v>249.04501750000003</v>
      </c>
      <c r="O22" s="197">
        <f t="shared" si="4"/>
        <v>36.527846699999998</v>
      </c>
      <c r="P22" s="197">
        <f t="shared" si="5"/>
        <v>4.4394608000000026</v>
      </c>
      <c r="Q22" s="197">
        <f t="shared" si="6"/>
        <v>40.967307500000004</v>
      </c>
      <c r="R22" s="583"/>
      <c r="S22" s="139">
        <f t="shared" si="7"/>
        <v>260.67774500000002</v>
      </c>
      <c r="T22" s="139">
        <f t="shared" si="8"/>
        <v>29.334580000000003</v>
      </c>
      <c r="U22" s="877">
        <f t="shared" si="9"/>
        <v>0</v>
      </c>
      <c r="V22" s="50"/>
    </row>
    <row r="23" spans="1:22" ht="24.95" customHeight="1" x14ac:dyDescent="0.2">
      <c r="A23" s="188">
        <v>12</v>
      </c>
      <c r="B23" s="219" t="s">
        <v>397</v>
      </c>
      <c r="C23" s="197">
        <v>555.03134250000016</v>
      </c>
      <c r="D23" s="197">
        <v>62.458770000000008</v>
      </c>
      <c r="E23" s="197">
        <f t="shared" si="0"/>
        <v>617.49011250000012</v>
      </c>
      <c r="F23" s="197">
        <v>68.399379599999918</v>
      </c>
      <c r="G23" s="197">
        <v>7.5386413000000019</v>
      </c>
      <c r="H23" s="197">
        <f t="shared" si="1"/>
        <v>75.938020899999913</v>
      </c>
      <c r="I23" s="197">
        <v>486.63196290000025</v>
      </c>
      <c r="J23" s="197">
        <v>54.920128700000006</v>
      </c>
      <c r="K23" s="197">
        <f t="shared" si="2"/>
        <v>541.55209160000027</v>
      </c>
      <c r="L23" s="197">
        <v>457.72788440000011</v>
      </c>
      <c r="M23" s="197">
        <v>50.850074400000004</v>
      </c>
      <c r="N23" s="197">
        <f t="shared" si="3"/>
        <v>508.57795880000009</v>
      </c>
      <c r="O23" s="197">
        <f t="shared" si="4"/>
        <v>97.303458100000057</v>
      </c>
      <c r="P23" s="197">
        <f t="shared" si="5"/>
        <v>11.608695600000004</v>
      </c>
      <c r="Q23" s="197">
        <f t="shared" si="6"/>
        <v>108.91215370000003</v>
      </c>
      <c r="R23" s="583"/>
      <c r="S23" s="139">
        <f t="shared" si="7"/>
        <v>555.03134250000016</v>
      </c>
      <c r="T23" s="139">
        <f t="shared" si="8"/>
        <v>62.458770000000008</v>
      </c>
      <c r="U23" s="877">
        <f t="shared" si="9"/>
        <v>0</v>
      </c>
      <c r="V23" s="50"/>
    </row>
    <row r="24" spans="1:22" ht="24.95" customHeight="1" x14ac:dyDescent="0.2">
      <c r="A24" s="188">
        <v>13</v>
      </c>
      <c r="B24" s="219" t="s">
        <v>398</v>
      </c>
      <c r="C24" s="197">
        <v>160.03610450000002</v>
      </c>
      <c r="D24" s="197">
        <v>18.009178000000002</v>
      </c>
      <c r="E24" s="197">
        <f t="shared" si="0"/>
        <v>178.04528250000001</v>
      </c>
      <c r="F24" s="197">
        <v>20.208230400000019</v>
      </c>
      <c r="G24" s="197">
        <v>2.227251199999996</v>
      </c>
      <c r="H24" s="197">
        <f t="shared" si="1"/>
        <v>22.435481600000017</v>
      </c>
      <c r="I24" s="197">
        <v>139.8278741</v>
      </c>
      <c r="J24" s="197">
        <v>15.781926800000008</v>
      </c>
      <c r="K24" s="197">
        <f t="shared" si="2"/>
        <v>155.60980090000001</v>
      </c>
      <c r="L24" s="197">
        <v>137.79552380000001</v>
      </c>
      <c r="M24" s="197">
        <v>15.296349899999999</v>
      </c>
      <c r="N24" s="197">
        <f t="shared" si="3"/>
        <v>153.09187370000001</v>
      </c>
      <c r="O24" s="197">
        <f>F24+I24-L24</f>
        <v>22.24058070000001</v>
      </c>
      <c r="P24" s="197">
        <f t="shared" si="5"/>
        <v>2.7128281000000065</v>
      </c>
      <c r="Q24" s="197">
        <f t="shared" si="6"/>
        <v>24.953408800000034</v>
      </c>
      <c r="R24" s="583"/>
      <c r="S24" s="139">
        <f t="shared" si="7"/>
        <v>160.03610450000002</v>
      </c>
      <c r="T24" s="139">
        <f t="shared" si="8"/>
        <v>18.009178000000006</v>
      </c>
      <c r="U24" s="877">
        <f t="shared" si="9"/>
        <v>0</v>
      </c>
      <c r="V24" s="50"/>
    </row>
    <row r="25" spans="1:22" ht="20.100000000000001" customHeight="1" x14ac:dyDescent="0.2">
      <c r="A25" s="1135" t="s">
        <v>18</v>
      </c>
      <c r="B25" s="1135"/>
      <c r="C25" s="198">
        <f>SUM(C12:C24)</f>
        <v>3360.1149995000005</v>
      </c>
      <c r="D25" s="198">
        <f t="shared" ref="D25" si="10">SUM(D12:D24)</f>
        <v>378.12035800000007</v>
      </c>
      <c r="E25" s="198">
        <f>SUM(E12:E24)-0.01</f>
        <v>3738.2253575000009</v>
      </c>
      <c r="F25" s="198">
        <f t="shared" ref="F25:Q25" si="11">SUM(F12:F24)</f>
        <v>427.50958239999977</v>
      </c>
      <c r="G25" s="198">
        <f t="shared" si="11"/>
        <v>47.12035719999998</v>
      </c>
      <c r="H25" s="198">
        <f t="shared" si="11"/>
        <v>474.62993959999983</v>
      </c>
      <c r="I25" s="198">
        <f t="shared" si="11"/>
        <v>2932.6044171000008</v>
      </c>
      <c r="J25" s="198">
        <f t="shared" si="11"/>
        <v>331.00000080000007</v>
      </c>
      <c r="K25" s="198">
        <f t="shared" si="11"/>
        <v>3263.6044179000005</v>
      </c>
      <c r="L25" s="198">
        <f t="shared" si="11"/>
        <v>2880.1515912000009</v>
      </c>
      <c r="M25" s="198">
        <f t="shared" si="11"/>
        <v>319.88904940000003</v>
      </c>
      <c r="N25" s="198">
        <f t="shared" si="11"/>
        <v>3200.0406406000006</v>
      </c>
      <c r="O25" s="198">
        <f t="shared" si="11"/>
        <v>479.96240830000022</v>
      </c>
      <c r="P25" s="198">
        <f t="shared" si="11"/>
        <v>58.231308600000048</v>
      </c>
      <c r="Q25" s="198">
        <f t="shared" si="11"/>
        <v>538.19371690000014</v>
      </c>
      <c r="R25" s="583"/>
      <c r="S25" s="139">
        <f t="shared" si="7"/>
        <v>3360.1139995000003</v>
      </c>
      <c r="T25" s="139">
        <f t="shared" si="8"/>
        <v>378.12035800000007</v>
      </c>
      <c r="U25" s="877">
        <f t="shared" si="9"/>
        <v>0</v>
      </c>
    </row>
    <row r="26" spans="1:22" s="571" customFormat="1" ht="20.100000000000001" customHeight="1" x14ac:dyDescent="0.2">
      <c r="A26" s="577" t="s">
        <v>698</v>
      </c>
      <c r="B26" s="574"/>
      <c r="C26" s="574"/>
      <c r="D26" s="574"/>
      <c r="E26" s="978">
        <f>'T7ACC_UPY_Utlsn '!E24</f>
        <v>3975.5600010000007</v>
      </c>
      <c r="F26" s="574"/>
      <c r="G26" s="574"/>
      <c r="H26" s="574"/>
      <c r="I26" s="574"/>
      <c r="J26" s="574"/>
      <c r="K26" s="574"/>
      <c r="L26" s="574"/>
      <c r="M26" s="574"/>
      <c r="N26" s="978">
        <f>'T7ACC_UPY_Utlsn '!N24</f>
        <v>3297.1820388000001</v>
      </c>
      <c r="O26" s="574"/>
      <c r="P26" s="574"/>
      <c r="Q26" s="574"/>
    </row>
    <row r="27" spans="1:22" x14ac:dyDescent="0.2">
      <c r="A27" s="575" t="s">
        <v>497</v>
      </c>
      <c r="B27" s="575"/>
      <c r="C27" s="575"/>
      <c r="D27" s="575"/>
      <c r="E27" s="979">
        <f>E25+E26</f>
        <v>7713.7853585000012</v>
      </c>
      <c r="F27" s="575"/>
      <c r="G27" s="575"/>
      <c r="H27" s="575"/>
      <c r="I27" s="575"/>
      <c r="J27" s="575"/>
      <c r="K27" s="874"/>
      <c r="L27" s="575"/>
      <c r="M27" s="575"/>
      <c r="N27" s="979">
        <f>N25+N26</f>
        <v>6497.2226794000007</v>
      </c>
      <c r="O27" s="575"/>
      <c r="P27" s="576"/>
      <c r="Q27" s="576"/>
    </row>
    <row r="28" spans="1:22" x14ac:dyDescent="0.2">
      <c r="A28" s="1224" t="s">
        <v>500</v>
      </c>
      <c r="B28" s="1224"/>
      <c r="C28" s="1224"/>
      <c r="D28" s="1224"/>
      <c r="E28" s="1224"/>
      <c r="F28" s="1224"/>
      <c r="G28" s="1224"/>
      <c r="H28" s="1224"/>
      <c r="I28" s="1224"/>
      <c r="J28" s="1224"/>
      <c r="K28" s="1224"/>
      <c r="L28" s="1224"/>
      <c r="M28" s="1224"/>
      <c r="N28" s="1224"/>
      <c r="O28" s="1224"/>
      <c r="P28" s="1224"/>
      <c r="Q28" s="1224"/>
    </row>
    <row r="29" spans="1:22" x14ac:dyDescent="0.2">
      <c r="A29" s="11" t="s">
        <v>11</v>
      </c>
      <c r="B29" s="11"/>
      <c r="C29" s="11"/>
      <c r="D29" s="11"/>
      <c r="E29" s="11"/>
      <c r="F29" s="11"/>
      <c r="G29" s="11"/>
      <c r="H29" s="11"/>
      <c r="I29" s="11"/>
      <c r="J29" s="11"/>
      <c r="K29" s="11"/>
      <c r="L29" s="11"/>
      <c r="M29" s="11"/>
      <c r="N29" s="976">
        <f>N27/E27</f>
        <v>0.84228720108740884</v>
      </c>
      <c r="P29" s="1161" t="s">
        <v>12</v>
      </c>
      <c r="Q29" s="1161"/>
    </row>
    <row r="30" spans="1:22" ht="12.75" customHeight="1" x14ac:dyDescent="0.2">
      <c r="A30" s="1161" t="s">
        <v>13</v>
      </c>
      <c r="B30" s="1161"/>
      <c r="C30" s="1161"/>
      <c r="D30" s="1161"/>
      <c r="E30" s="1161"/>
      <c r="F30" s="1161"/>
      <c r="G30" s="1161"/>
      <c r="H30" s="1161"/>
      <c r="I30" s="1161"/>
      <c r="J30" s="1161"/>
      <c r="K30" s="1161"/>
      <c r="L30" s="1161"/>
      <c r="M30" s="1161"/>
      <c r="N30" s="1161"/>
      <c r="O30" s="1161"/>
      <c r="P30" s="1161"/>
      <c r="Q30" s="1161"/>
    </row>
    <row r="31" spans="1:22" ht="12.75" customHeight="1" x14ac:dyDescent="0.2">
      <c r="A31" s="1161" t="s">
        <v>19</v>
      </c>
      <c r="B31" s="1161"/>
      <c r="C31" s="1161"/>
      <c r="D31" s="1161"/>
      <c r="E31" s="1161"/>
      <c r="F31" s="1161"/>
      <c r="G31" s="1161"/>
      <c r="H31" s="1161"/>
      <c r="I31" s="1161"/>
      <c r="J31" s="1161"/>
      <c r="K31" s="1161"/>
      <c r="L31" s="1161"/>
      <c r="M31" s="1161"/>
      <c r="N31" s="1161"/>
      <c r="O31" s="1161"/>
      <c r="P31" s="1161"/>
      <c r="Q31" s="1161"/>
    </row>
    <row r="32" spans="1:22" x14ac:dyDescent="0.2">
      <c r="B32" s="11"/>
      <c r="C32" s="11"/>
      <c r="D32" s="11"/>
      <c r="E32" s="11"/>
      <c r="F32" s="11"/>
      <c r="G32" s="11"/>
      <c r="H32" s="11"/>
      <c r="I32" s="11"/>
      <c r="J32" s="11"/>
      <c r="K32" s="11"/>
      <c r="L32" s="11"/>
      <c r="M32" s="11"/>
      <c r="O32" s="1075" t="s">
        <v>84</v>
      </c>
      <c r="P32" s="1075"/>
      <c r="Q32" s="1075"/>
      <c r="R32" s="1075"/>
    </row>
    <row r="34" spans="3:18" x14ac:dyDescent="0.2">
      <c r="C34" s="571"/>
      <c r="D34" s="571"/>
      <c r="E34" s="571"/>
      <c r="F34" s="571"/>
      <c r="G34" s="571"/>
      <c r="H34" s="571"/>
      <c r="I34" s="571"/>
      <c r="J34" s="571"/>
      <c r="K34" s="571"/>
      <c r="L34" s="571"/>
      <c r="M34" s="571"/>
      <c r="N34" s="571"/>
      <c r="O34" s="571"/>
      <c r="P34" s="571"/>
      <c r="Q34" s="571"/>
      <c r="R34" s="571"/>
    </row>
  </sheetData>
  <mergeCells count="19">
    <mergeCell ref="P1:Q1"/>
    <mergeCell ref="A2:Q2"/>
    <mergeCell ref="A3:Q3"/>
    <mergeCell ref="A31:Q31"/>
    <mergeCell ref="N8:Q8"/>
    <mergeCell ref="A4:Q4"/>
    <mergeCell ref="A9:A10"/>
    <mergeCell ref="B9:B10"/>
    <mergeCell ref="I9:K9"/>
    <mergeCell ref="A8:C8"/>
    <mergeCell ref="O32:R32"/>
    <mergeCell ref="O9:Q9"/>
    <mergeCell ref="L9:N9"/>
    <mergeCell ref="A30:Q30"/>
    <mergeCell ref="P29:Q29"/>
    <mergeCell ref="C9:E9"/>
    <mergeCell ref="F9:H9"/>
    <mergeCell ref="A28:Q28"/>
    <mergeCell ref="A25:B25"/>
  </mergeCells>
  <phoneticPr fontId="0" type="noConversion"/>
  <printOptions horizontalCentered="1"/>
  <pageMargins left="0.70866141732283472" right="0.55000000000000004" top="0.23622047244094491" bottom="0" header="0.31496062992125984" footer="0.31496062992125984"/>
  <pageSetup paperSize="9" scale="9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39997558519241921"/>
    <pageSetUpPr fitToPage="1"/>
  </sheetPr>
  <dimension ref="A1:V36"/>
  <sheetViews>
    <sheetView view="pageBreakPreview" topLeftCell="A10" zoomScaleSheetLayoutView="100" workbookViewId="0">
      <selection activeCell="C23" sqref="C23:Q23"/>
    </sheetView>
  </sheetViews>
  <sheetFormatPr defaultRowHeight="12.75" x14ac:dyDescent="0.2"/>
  <cols>
    <col min="1" max="1" width="7.42578125" style="12" customWidth="1"/>
    <col min="2" max="2" width="12.28515625" style="12" customWidth="1"/>
    <col min="3" max="3" width="8.7109375" style="12" customWidth="1"/>
    <col min="4" max="4" width="7.28515625" style="12" customWidth="1"/>
    <col min="5" max="5" width="8" style="12" customWidth="1"/>
    <col min="6" max="7" width="7.28515625" style="12" customWidth="1"/>
    <col min="8" max="8" width="8.140625" style="12" customWidth="1"/>
    <col min="9" max="9" width="9.28515625" style="12" customWidth="1"/>
    <col min="10" max="10" width="7.5703125" style="12" customWidth="1"/>
    <col min="11" max="11" width="7.7109375" style="12" customWidth="1"/>
    <col min="12" max="12" width="8.7109375" style="12" customWidth="1"/>
    <col min="13" max="13" width="7.85546875" style="12" customWidth="1"/>
    <col min="14" max="14" width="7.7109375" style="12" customWidth="1"/>
    <col min="15" max="15" width="10.140625" style="12" customWidth="1"/>
    <col min="16" max="16" width="9.7109375" style="12" customWidth="1"/>
    <col min="17" max="17" width="10.85546875" style="12" customWidth="1"/>
    <col min="18" max="18" width="9.5703125" style="12" bestFit="1" customWidth="1"/>
    <col min="19" max="19" width="9.28515625" style="12" bestFit="1" customWidth="1"/>
    <col min="20" max="16384" width="9.140625" style="12"/>
  </cols>
  <sheetData>
    <row r="1" spans="1:22" customFormat="1" ht="15" x14ac:dyDescent="0.2">
      <c r="H1" s="24"/>
      <c r="I1" s="24"/>
      <c r="J1" s="24"/>
      <c r="K1" s="24"/>
      <c r="L1" s="24"/>
      <c r="M1" s="24"/>
      <c r="N1" s="24"/>
      <c r="O1" s="24"/>
      <c r="P1" s="1225" t="s">
        <v>94</v>
      </c>
      <c r="Q1" s="1225"/>
      <c r="R1" s="1149"/>
      <c r="S1" s="12"/>
      <c r="T1" s="32"/>
      <c r="U1" s="32"/>
    </row>
    <row r="2" spans="1:22" customFormat="1" ht="15" x14ac:dyDescent="0.2">
      <c r="A2" s="1152" t="s">
        <v>0</v>
      </c>
      <c r="B2" s="1152"/>
      <c r="C2" s="1152"/>
      <c r="D2" s="1152"/>
      <c r="E2" s="1152"/>
      <c r="F2" s="1152"/>
      <c r="G2" s="1152"/>
      <c r="H2" s="1152"/>
      <c r="I2" s="1152"/>
      <c r="J2" s="1152"/>
      <c r="K2" s="1152"/>
      <c r="L2" s="1152"/>
      <c r="M2" s="1152"/>
      <c r="N2" s="1152"/>
      <c r="O2" s="1152"/>
      <c r="P2" s="1152"/>
      <c r="Q2" s="1152"/>
      <c r="R2" s="1149"/>
      <c r="S2" s="34"/>
      <c r="T2" s="34"/>
      <c r="U2" s="34"/>
    </row>
    <row r="3" spans="1:22" customFormat="1" ht="20.25" x14ac:dyDescent="0.3">
      <c r="A3" s="1131" t="s">
        <v>788</v>
      </c>
      <c r="B3" s="1131"/>
      <c r="C3" s="1131"/>
      <c r="D3" s="1131"/>
      <c r="E3" s="1131"/>
      <c r="F3" s="1131"/>
      <c r="G3" s="1131"/>
      <c r="H3" s="1131"/>
      <c r="I3" s="1131"/>
      <c r="J3" s="1131"/>
      <c r="K3" s="1131"/>
      <c r="L3" s="1131"/>
      <c r="M3" s="1131"/>
      <c r="N3" s="1131"/>
      <c r="O3" s="1131"/>
      <c r="P3" s="1131"/>
      <c r="Q3" s="1131"/>
      <c r="R3" s="1149"/>
      <c r="S3" s="33"/>
      <c r="T3" s="33"/>
      <c r="U3" s="33"/>
    </row>
    <row r="4" spans="1:22" ht="18.600000000000001" customHeight="1" x14ac:dyDescent="0.25">
      <c r="A4" s="1039" t="s">
        <v>875</v>
      </c>
      <c r="B4" s="1039"/>
      <c r="C4" s="1039"/>
      <c r="D4" s="1039"/>
      <c r="E4" s="1039"/>
      <c r="F4" s="1039"/>
      <c r="G4" s="1039"/>
      <c r="H4" s="1039"/>
      <c r="I4" s="1039"/>
      <c r="J4" s="1039"/>
      <c r="K4" s="1039"/>
      <c r="L4" s="1039"/>
      <c r="M4" s="1039"/>
      <c r="N4" s="1039"/>
      <c r="O4" s="1039"/>
      <c r="P4" s="1039"/>
      <c r="Q4" s="1039"/>
      <c r="R4" s="1149"/>
    </row>
    <row r="5" spans="1:22" ht="12" customHeight="1" x14ac:dyDescent="0.2">
      <c r="R5" s="1149"/>
    </row>
    <row r="6" spans="1:22" x14ac:dyDescent="0.2">
      <c r="Q6" s="465" t="s">
        <v>24</v>
      </c>
      <c r="R6" s="1149"/>
    </row>
    <row r="7" spans="1:22" x14ac:dyDescent="0.2">
      <c r="A7" s="1227" t="s">
        <v>456</v>
      </c>
      <c r="B7" s="1227"/>
      <c r="C7" s="1227"/>
      <c r="D7" s="451"/>
      <c r="E7" s="451"/>
      <c r="F7" s="451"/>
      <c r="G7" s="451"/>
      <c r="H7" s="451"/>
      <c r="I7" s="451"/>
      <c r="J7" s="451"/>
      <c r="K7" s="451"/>
      <c r="L7" s="451"/>
      <c r="M7" s="451"/>
      <c r="N7" s="1226" t="s">
        <v>874</v>
      </c>
      <c r="O7" s="1226"/>
      <c r="P7" s="1226"/>
      <c r="Q7" s="1226"/>
      <c r="R7" s="1149"/>
      <c r="S7" s="16"/>
    </row>
    <row r="8" spans="1:22" ht="37.15" customHeight="1" x14ac:dyDescent="0.2">
      <c r="A8" s="1136" t="s">
        <v>2</v>
      </c>
      <c r="B8" s="1136" t="s">
        <v>3</v>
      </c>
      <c r="C8" s="1145" t="s">
        <v>871</v>
      </c>
      <c r="D8" s="1145"/>
      <c r="E8" s="1145"/>
      <c r="F8" s="1145" t="s">
        <v>872</v>
      </c>
      <c r="G8" s="1145"/>
      <c r="H8" s="1145"/>
      <c r="I8" s="1221" t="s">
        <v>97</v>
      </c>
      <c r="J8" s="1222"/>
      <c r="K8" s="1223"/>
      <c r="L8" s="1221" t="s">
        <v>96</v>
      </c>
      <c r="M8" s="1222"/>
      <c r="N8" s="1223"/>
      <c r="O8" s="1218" t="s">
        <v>873</v>
      </c>
      <c r="P8" s="1219"/>
      <c r="Q8" s="1220"/>
      <c r="R8" s="1149"/>
    </row>
    <row r="9" spans="1:22" ht="44.25" customHeight="1" x14ac:dyDescent="0.2">
      <c r="A9" s="1137"/>
      <c r="B9" s="1137"/>
      <c r="C9" s="189" t="s">
        <v>117</v>
      </c>
      <c r="D9" s="189" t="s">
        <v>501</v>
      </c>
      <c r="E9" s="189" t="s">
        <v>18</v>
      </c>
      <c r="F9" s="189" t="s">
        <v>117</v>
      </c>
      <c r="G9" s="189" t="s">
        <v>501</v>
      </c>
      <c r="H9" s="189" t="s">
        <v>18</v>
      </c>
      <c r="I9" s="631" t="s">
        <v>717</v>
      </c>
      <c r="J9" s="189" t="s">
        <v>501</v>
      </c>
      <c r="K9" s="189" t="s">
        <v>18</v>
      </c>
      <c r="L9" s="189" t="s">
        <v>117</v>
      </c>
      <c r="M9" s="189" t="s">
        <v>501</v>
      </c>
      <c r="N9" s="189" t="s">
        <v>18</v>
      </c>
      <c r="O9" s="582" t="s">
        <v>708</v>
      </c>
      <c r="P9" s="582" t="s">
        <v>709</v>
      </c>
      <c r="Q9" s="189" t="s">
        <v>401</v>
      </c>
    </row>
    <row r="10" spans="1:22" s="50" customFormat="1" x14ac:dyDescent="0.2">
      <c r="A10" s="244">
        <v>1</v>
      </c>
      <c r="B10" s="244">
        <v>2</v>
      </c>
      <c r="C10" s="244">
        <v>3</v>
      </c>
      <c r="D10" s="244">
        <v>4</v>
      </c>
      <c r="E10" s="244">
        <v>5</v>
      </c>
      <c r="F10" s="244">
        <v>6</v>
      </c>
      <c r="G10" s="244">
        <v>7</v>
      </c>
      <c r="H10" s="244">
        <v>8</v>
      </c>
      <c r="I10" s="244">
        <v>9</v>
      </c>
      <c r="J10" s="244">
        <v>10</v>
      </c>
      <c r="K10" s="244">
        <v>11</v>
      </c>
      <c r="L10" s="244">
        <v>12</v>
      </c>
      <c r="M10" s="244">
        <v>13</v>
      </c>
      <c r="N10" s="244">
        <v>14</v>
      </c>
      <c r="O10" s="244">
        <v>15</v>
      </c>
      <c r="P10" s="244">
        <v>16</v>
      </c>
      <c r="Q10" s="244">
        <v>17</v>
      </c>
      <c r="R10" s="721"/>
      <c r="S10" s="721"/>
      <c r="T10" s="721"/>
    </row>
    <row r="11" spans="1:22" ht="24.95" customHeight="1" x14ac:dyDescent="0.2">
      <c r="A11" s="188">
        <v>1</v>
      </c>
      <c r="B11" s="219" t="s">
        <v>386</v>
      </c>
      <c r="C11" s="197">
        <v>289.38379400000002</v>
      </c>
      <c r="D11" s="197">
        <v>32.098885000000003</v>
      </c>
      <c r="E11" s="197">
        <f>C11+D11</f>
        <v>321.48267900000002</v>
      </c>
      <c r="F11" s="197">
        <v>59.675702399999949</v>
      </c>
      <c r="G11" s="197">
        <v>6.6544847999999988</v>
      </c>
      <c r="H11" s="197">
        <f>F11+G11</f>
        <v>66.330187199999955</v>
      </c>
      <c r="I11" s="197">
        <v>229.7</v>
      </c>
      <c r="J11" s="197">
        <v>25.457928240000001</v>
      </c>
      <c r="K11" s="197">
        <f>I11+J11</f>
        <v>255.15792823999999</v>
      </c>
      <c r="L11" s="197">
        <v>229.75689160000002</v>
      </c>
      <c r="M11" s="197">
        <v>25.578105800000003</v>
      </c>
      <c r="N11" s="197">
        <f>L11+M11</f>
        <v>255.33499740000002</v>
      </c>
      <c r="O11" s="197">
        <f>F11+I11-L11</f>
        <v>59.618810799999892</v>
      </c>
      <c r="P11" s="245">
        <f>G11+J11-M11-0.01</f>
        <v>6.5243072399999971</v>
      </c>
      <c r="Q11" s="197">
        <f>H11+K11-N11</f>
        <v>66.153118039999924</v>
      </c>
      <c r="R11" s="721"/>
      <c r="S11" s="139">
        <f>G11+J11</f>
        <v>32.11241304</v>
      </c>
      <c r="T11" s="721">
        <f>25.53-0.08</f>
        <v>25.450000000000003</v>
      </c>
      <c r="U11" s="721"/>
      <c r="V11" s="721"/>
    </row>
    <row r="12" spans="1:22" ht="24.95" customHeight="1" x14ac:dyDescent="0.2">
      <c r="A12" s="188">
        <v>2</v>
      </c>
      <c r="B12" s="219" t="s">
        <v>387</v>
      </c>
      <c r="C12" s="197">
        <v>135.38270100000003</v>
      </c>
      <c r="D12" s="197">
        <v>15.016852500000001</v>
      </c>
      <c r="E12" s="197">
        <f t="shared" ref="E12:E23" si="0">C12+D12</f>
        <v>150.39955350000002</v>
      </c>
      <c r="F12" s="197">
        <v>17.816186000000016</v>
      </c>
      <c r="G12" s="197">
        <v>1.9866969999999995</v>
      </c>
      <c r="H12" s="197">
        <f t="shared" ref="H12:H23" si="1">F12+G12</f>
        <v>19.802883000000016</v>
      </c>
      <c r="I12" s="197">
        <v>117.56651500000001</v>
      </c>
      <c r="J12" s="197">
        <v>13.030155500000001</v>
      </c>
      <c r="K12" s="197">
        <f t="shared" ref="K12:K23" si="2">I12+J12</f>
        <v>130.59667050000002</v>
      </c>
      <c r="L12" s="197">
        <v>106.46763340000001</v>
      </c>
      <c r="M12" s="197">
        <v>11.851757900000003</v>
      </c>
      <c r="N12" s="197">
        <f t="shared" ref="N12:N23" si="3">L12+M12</f>
        <v>118.31939130000001</v>
      </c>
      <c r="O12" s="197">
        <f>F12+I12-L12</f>
        <v>28.915067600000015</v>
      </c>
      <c r="P12" s="197">
        <f t="shared" ref="P12:P23" si="4">G12+J12-M12</f>
        <v>3.165094599999998</v>
      </c>
      <c r="Q12" s="197">
        <f t="shared" ref="Q12:Q23" si="5">H12+K12-N12</f>
        <v>32.080162200000018</v>
      </c>
      <c r="R12" s="721"/>
      <c r="S12" s="139">
        <f t="shared" ref="S12:S24" si="6">G12+J12</f>
        <v>15.016852500000001</v>
      </c>
      <c r="T12" s="721"/>
      <c r="U12" s="50"/>
      <c r="V12" s="50"/>
    </row>
    <row r="13" spans="1:22" ht="24.95" customHeight="1" x14ac:dyDescent="0.2">
      <c r="A13" s="188">
        <v>3</v>
      </c>
      <c r="B13" s="219" t="s">
        <v>388</v>
      </c>
      <c r="C13" s="197">
        <v>199.12866000000002</v>
      </c>
      <c r="D13" s="197">
        <v>22.087650000000004</v>
      </c>
      <c r="E13" s="197">
        <f t="shared" si="0"/>
        <v>221.21631000000002</v>
      </c>
      <c r="F13" s="197">
        <v>31.089740800000015</v>
      </c>
      <c r="G13" s="197">
        <v>3.4668416000000022</v>
      </c>
      <c r="H13" s="197">
        <f t="shared" si="1"/>
        <v>34.556582400000018</v>
      </c>
      <c r="I13" s="197">
        <v>168.03891920000001</v>
      </c>
      <c r="J13" s="197">
        <v>18.620808400000001</v>
      </c>
      <c r="K13" s="197">
        <f t="shared" si="2"/>
        <v>186.6597276</v>
      </c>
      <c r="L13" s="197">
        <v>169.40491299999999</v>
      </c>
      <c r="M13" s="197">
        <v>18.857099300000002</v>
      </c>
      <c r="N13" s="197">
        <f t="shared" si="3"/>
        <v>188.26201229999998</v>
      </c>
      <c r="O13" s="197">
        <f t="shared" ref="O13:O23" si="7">F13+I13-L13</f>
        <v>29.723747000000031</v>
      </c>
      <c r="P13" s="197">
        <f t="shared" si="4"/>
        <v>3.230550700000002</v>
      </c>
      <c r="Q13" s="197">
        <f t="shared" si="5"/>
        <v>32.954297700000041</v>
      </c>
      <c r="R13" s="721"/>
      <c r="S13" s="139">
        <f t="shared" si="6"/>
        <v>22.087650000000004</v>
      </c>
      <c r="T13" s="721"/>
      <c r="U13" s="721"/>
      <c r="V13" s="721"/>
    </row>
    <row r="14" spans="1:22" ht="24.95" customHeight="1" x14ac:dyDescent="0.2">
      <c r="A14" s="188">
        <v>4</v>
      </c>
      <c r="B14" s="219" t="s">
        <v>389</v>
      </c>
      <c r="C14" s="197">
        <v>127.06501700000003</v>
      </c>
      <c r="D14" s="197">
        <v>14.094242500000002</v>
      </c>
      <c r="E14" s="197">
        <f t="shared" si="0"/>
        <v>141.15925950000002</v>
      </c>
      <c r="F14" s="197">
        <v>19.390555599999985</v>
      </c>
      <c r="G14" s="197">
        <v>2.1622561999999981</v>
      </c>
      <c r="H14" s="197">
        <f t="shared" si="1"/>
        <v>21.552811799999983</v>
      </c>
      <c r="I14" s="197">
        <v>107.67446140000004</v>
      </c>
      <c r="J14" s="197">
        <v>11.931986300000004</v>
      </c>
      <c r="K14" s="197">
        <f t="shared" si="2"/>
        <v>119.60644770000005</v>
      </c>
      <c r="L14" s="197">
        <v>100.36778459999999</v>
      </c>
      <c r="M14" s="197">
        <v>11.173931100000001</v>
      </c>
      <c r="N14" s="197">
        <f t="shared" si="3"/>
        <v>111.5417157</v>
      </c>
      <c r="O14" s="197">
        <f t="shared" si="7"/>
        <v>26.697232400000033</v>
      </c>
      <c r="P14" s="197">
        <f t="shared" si="4"/>
        <v>2.920311400000001</v>
      </c>
      <c r="Q14" s="197">
        <f t="shared" si="5"/>
        <v>29.617543800000021</v>
      </c>
      <c r="R14" s="721"/>
      <c r="S14" s="139">
        <f t="shared" si="6"/>
        <v>14.094242500000002</v>
      </c>
      <c r="T14" s="721"/>
      <c r="U14" s="50"/>
      <c r="V14" s="50"/>
    </row>
    <row r="15" spans="1:22" ht="24.95" customHeight="1" x14ac:dyDescent="0.2">
      <c r="A15" s="188">
        <v>5</v>
      </c>
      <c r="B15" s="221" t="s">
        <v>390</v>
      </c>
      <c r="C15" s="197">
        <v>357.79812200000003</v>
      </c>
      <c r="D15" s="197">
        <v>39.687505000000002</v>
      </c>
      <c r="E15" s="197">
        <f t="shared" si="0"/>
        <v>397.48562700000002</v>
      </c>
      <c r="F15" s="197">
        <v>49.195289600000024</v>
      </c>
      <c r="G15" s="197">
        <v>5.4861691999999991</v>
      </c>
      <c r="H15" s="197">
        <f t="shared" si="1"/>
        <v>54.681458800000023</v>
      </c>
      <c r="I15" s="197">
        <v>308.60283240000001</v>
      </c>
      <c r="J15" s="197">
        <v>34.201335800000003</v>
      </c>
      <c r="K15" s="197">
        <f t="shared" si="2"/>
        <v>342.80416819999999</v>
      </c>
      <c r="L15" s="197">
        <v>297.65790260000006</v>
      </c>
      <c r="M15" s="197">
        <v>33.132680499999999</v>
      </c>
      <c r="N15" s="197">
        <f t="shared" si="3"/>
        <v>330.79058310000005</v>
      </c>
      <c r="O15" s="197">
        <f t="shared" si="7"/>
        <v>60.140219399999978</v>
      </c>
      <c r="P15" s="197">
        <f t="shared" si="4"/>
        <v>6.5548245000000023</v>
      </c>
      <c r="Q15" s="197">
        <f t="shared" si="5"/>
        <v>66.695043899999973</v>
      </c>
      <c r="R15" s="721"/>
      <c r="S15" s="139">
        <f t="shared" si="6"/>
        <v>39.687505000000002</v>
      </c>
      <c r="T15" s="721"/>
      <c r="U15" s="721"/>
      <c r="V15" s="721"/>
    </row>
    <row r="16" spans="1:22" ht="24.95" customHeight="1" x14ac:dyDescent="0.2">
      <c r="A16" s="188">
        <v>6</v>
      </c>
      <c r="B16" s="219" t="s">
        <v>391</v>
      </c>
      <c r="C16" s="197">
        <v>465.55619700000005</v>
      </c>
      <c r="D16" s="197">
        <v>51.640192500000005</v>
      </c>
      <c r="E16" s="197">
        <f t="shared" si="0"/>
        <v>517.19638950000001</v>
      </c>
      <c r="F16" s="197">
        <v>75.613553599999932</v>
      </c>
      <c r="G16" s="197">
        <v>8.4317271999999974</v>
      </c>
      <c r="H16" s="197">
        <f t="shared" si="1"/>
        <v>84.045280799999929</v>
      </c>
      <c r="I16" s="197">
        <v>389.94264340000012</v>
      </c>
      <c r="J16" s="197">
        <v>43.208465300000007</v>
      </c>
      <c r="K16" s="197">
        <f t="shared" si="2"/>
        <v>433.15110870000012</v>
      </c>
      <c r="L16" s="197">
        <v>390.20933960000002</v>
      </c>
      <c r="M16" s="197">
        <v>43.425497800000002</v>
      </c>
      <c r="N16" s="197">
        <f t="shared" si="3"/>
        <v>433.63483740000004</v>
      </c>
      <c r="O16" s="197">
        <f t="shared" si="7"/>
        <v>75.346857400000033</v>
      </c>
      <c r="P16" s="197">
        <f t="shared" si="4"/>
        <v>8.2146947000000026</v>
      </c>
      <c r="Q16" s="197">
        <f t="shared" si="5"/>
        <v>83.561552099999972</v>
      </c>
      <c r="R16" s="721"/>
      <c r="S16" s="139">
        <f t="shared" si="6"/>
        <v>51.640192500000005</v>
      </c>
      <c r="T16" s="721"/>
      <c r="U16" s="50"/>
      <c r="V16" s="50"/>
    </row>
    <row r="17" spans="1:22" ht="24.95" customHeight="1" x14ac:dyDescent="0.2">
      <c r="A17" s="188">
        <v>7</v>
      </c>
      <c r="B17" s="221" t="s">
        <v>392</v>
      </c>
      <c r="C17" s="197">
        <v>361.39235300000007</v>
      </c>
      <c r="D17" s="197">
        <v>40.086182500000007</v>
      </c>
      <c r="E17" s="197">
        <f t="shared" si="0"/>
        <v>401.47853550000008</v>
      </c>
      <c r="F17" s="197">
        <v>1.3367907999999034</v>
      </c>
      <c r="G17" s="197">
        <v>0.14906659999999761</v>
      </c>
      <c r="H17" s="197">
        <f t="shared" si="1"/>
        <v>1.485857399999901</v>
      </c>
      <c r="I17" s="197">
        <v>360.05556220000017</v>
      </c>
      <c r="J17" s="197">
        <v>39.937115900000009</v>
      </c>
      <c r="K17" s="197">
        <f t="shared" si="2"/>
        <v>399.99267810000015</v>
      </c>
      <c r="L17" s="197">
        <v>311.96174480000002</v>
      </c>
      <c r="M17" s="197">
        <v>34.719504400000005</v>
      </c>
      <c r="N17" s="197">
        <f t="shared" si="3"/>
        <v>346.68124920000002</v>
      </c>
      <c r="O17" s="197">
        <f t="shared" si="7"/>
        <v>49.430608200000052</v>
      </c>
      <c r="P17" s="197">
        <f t="shared" si="4"/>
        <v>5.3666781000000015</v>
      </c>
      <c r="Q17" s="197">
        <f t="shared" si="5"/>
        <v>54.797286299999996</v>
      </c>
      <c r="R17" s="721"/>
      <c r="S17" s="139">
        <f t="shared" si="6"/>
        <v>40.086182500000007</v>
      </c>
      <c r="T17" s="721"/>
      <c r="U17" s="721"/>
      <c r="V17" s="721"/>
    </row>
    <row r="18" spans="1:22" ht="24.95" customHeight="1" x14ac:dyDescent="0.2">
      <c r="A18" s="188">
        <v>8</v>
      </c>
      <c r="B18" s="219" t="s">
        <v>393</v>
      </c>
      <c r="C18" s="197">
        <v>289.12214500000005</v>
      </c>
      <c r="D18" s="197">
        <v>32.069862499999999</v>
      </c>
      <c r="E18" s="197">
        <f t="shared" si="0"/>
        <v>321.19200750000005</v>
      </c>
      <c r="F18" s="197">
        <v>50.016369999999938</v>
      </c>
      <c r="G18" s="197">
        <v>5.5773650000000004</v>
      </c>
      <c r="H18" s="197">
        <f t="shared" si="1"/>
        <v>55.593734999999938</v>
      </c>
      <c r="I18" s="197">
        <v>239.10577500000011</v>
      </c>
      <c r="J18" s="197">
        <v>26.492497499999999</v>
      </c>
      <c r="K18" s="197">
        <f t="shared" si="2"/>
        <v>265.59827250000012</v>
      </c>
      <c r="L18" s="197">
        <v>229.67348880000003</v>
      </c>
      <c r="M18" s="197">
        <v>25.566810000000004</v>
      </c>
      <c r="N18" s="197">
        <f t="shared" si="3"/>
        <v>255.24029880000003</v>
      </c>
      <c r="O18" s="197">
        <f t="shared" si="7"/>
        <v>59.448656200000016</v>
      </c>
      <c r="P18" s="197">
        <f t="shared" si="4"/>
        <v>6.5030524999999955</v>
      </c>
      <c r="Q18" s="197">
        <f t="shared" si="5"/>
        <v>65.951708700000012</v>
      </c>
      <c r="R18" s="721"/>
      <c r="S18" s="139">
        <f t="shared" si="6"/>
        <v>32.069862499999999</v>
      </c>
      <c r="T18" s="721"/>
      <c r="U18" s="50"/>
      <c r="V18" s="50"/>
    </row>
    <row r="19" spans="1:22" ht="24.95" customHeight="1" x14ac:dyDescent="0.2">
      <c r="A19" s="188">
        <v>9</v>
      </c>
      <c r="B19" s="219" t="s">
        <v>394</v>
      </c>
      <c r="C19" s="197">
        <v>202.24090600000002</v>
      </c>
      <c r="D19" s="197">
        <v>22.432865000000003</v>
      </c>
      <c r="E19" s="197">
        <f t="shared" si="0"/>
        <v>224.67377100000002</v>
      </c>
      <c r="F19" s="197">
        <v>28.983835199999987</v>
      </c>
      <c r="G19" s="197">
        <v>3.2320104000000001</v>
      </c>
      <c r="H19" s="197">
        <f t="shared" si="1"/>
        <v>32.215845599999987</v>
      </c>
      <c r="I19" s="197">
        <v>173.25707080000004</v>
      </c>
      <c r="J19" s="197">
        <v>19.200854600000003</v>
      </c>
      <c r="K19" s="197">
        <f t="shared" si="2"/>
        <v>192.45792540000005</v>
      </c>
      <c r="L19" s="197">
        <v>168.7096234</v>
      </c>
      <c r="M19" s="197">
        <v>18.781403300000001</v>
      </c>
      <c r="N19" s="197">
        <f t="shared" si="3"/>
        <v>187.49102669999999</v>
      </c>
      <c r="O19" s="197">
        <f t="shared" si="7"/>
        <v>33.531282600000026</v>
      </c>
      <c r="P19" s="197">
        <f t="shared" si="4"/>
        <v>3.6514617000000023</v>
      </c>
      <c r="Q19" s="197">
        <f t="shared" si="5"/>
        <v>37.182744300000053</v>
      </c>
      <c r="R19" s="721"/>
      <c r="S19" s="139">
        <f t="shared" si="6"/>
        <v>22.432865000000003</v>
      </c>
      <c r="T19" s="721"/>
      <c r="U19" s="721"/>
      <c r="V19" s="721"/>
    </row>
    <row r="20" spans="1:22" ht="24.95" customHeight="1" x14ac:dyDescent="0.2">
      <c r="A20" s="188">
        <v>10</v>
      </c>
      <c r="B20" s="219" t="s">
        <v>395</v>
      </c>
      <c r="C20" s="197">
        <v>149.29141100000004</v>
      </c>
      <c r="D20" s="197">
        <v>16.559627500000001</v>
      </c>
      <c r="E20" s="197">
        <f t="shared" si="0"/>
        <v>165.85103850000004</v>
      </c>
      <c r="F20" s="197">
        <v>4.8748411999999917</v>
      </c>
      <c r="G20" s="197">
        <v>0.54359739999999945</v>
      </c>
      <c r="H20" s="197">
        <f t="shared" si="1"/>
        <v>5.4184385999999911</v>
      </c>
      <c r="I20" s="197">
        <v>144.41656980000005</v>
      </c>
      <c r="J20" s="197">
        <v>16.016030100000002</v>
      </c>
      <c r="K20" s="197">
        <f t="shared" si="2"/>
        <v>160.43259990000004</v>
      </c>
      <c r="L20" s="197">
        <v>128.49280580000001</v>
      </c>
      <c r="M20" s="197">
        <v>14.301717699999999</v>
      </c>
      <c r="N20" s="197">
        <f t="shared" si="3"/>
        <v>142.79452350000003</v>
      </c>
      <c r="O20" s="197">
        <f t="shared" si="7"/>
        <v>20.798605200000026</v>
      </c>
      <c r="P20" s="197">
        <f t="shared" si="4"/>
        <v>2.257909800000002</v>
      </c>
      <c r="Q20" s="197">
        <f t="shared" si="5"/>
        <v>23.056515000000019</v>
      </c>
      <c r="R20" s="721"/>
      <c r="S20" s="139">
        <f t="shared" si="6"/>
        <v>16.559627500000001</v>
      </c>
      <c r="T20" s="721"/>
      <c r="U20" s="50"/>
      <c r="V20" s="50"/>
    </row>
    <row r="21" spans="1:22" ht="24.95" customHeight="1" x14ac:dyDescent="0.2">
      <c r="A21" s="188">
        <v>11</v>
      </c>
      <c r="B21" s="219" t="s">
        <v>396</v>
      </c>
      <c r="C21" s="197">
        <v>335.14482700000008</v>
      </c>
      <c r="D21" s="197">
        <v>37.174767500000002</v>
      </c>
      <c r="E21" s="197">
        <f t="shared" si="0"/>
        <v>372.31959450000011</v>
      </c>
      <c r="F21" s="197">
        <v>44.612105600000007</v>
      </c>
      <c r="G21" s="197">
        <v>4.9747311999999937</v>
      </c>
      <c r="H21" s="197">
        <f t="shared" si="1"/>
        <v>49.5868368</v>
      </c>
      <c r="I21" s="197">
        <v>290.53272140000007</v>
      </c>
      <c r="J21" s="197">
        <v>32.200036300000008</v>
      </c>
      <c r="K21" s="197">
        <f t="shared" si="2"/>
        <v>322.73275770000009</v>
      </c>
      <c r="L21" s="197">
        <v>269.87090440000003</v>
      </c>
      <c r="M21" s="197">
        <v>30.039864200000004</v>
      </c>
      <c r="N21" s="197">
        <f t="shared" si="3"/>
        <v>299.91076860000004</v>
      </c>
      <c r="O21" s="197">
        <f t="shared" si="7"/>
        <v>65.273922600000049</v>
      </c>
      <c r="P21" s="197">
        <f t="shared" si="4"/>
        <v>7.1349032999999977</v>
      </c>
      <c r="Q21" s="197">
        <f t="shared" si="5"/>
        <v>72.408825900000068</v>
      </c>
      <c r="R21" s="721"/>
      <c r="S21" s="139">
        <f t="shared" si="6"/>
        <v>37.174767500000002</v>
      </c>
      <c r="T21" s="721"/>
      <c r="U21" s="721"/>
      <c r="V21" s="721"/>
    </row>
    <row r="22" spans="1:22" ht="24.95" customHeight="1" x14ac:dyDescent="0.2">
      <c r="A22" s="188">
        <v>12</v>
      </c>
      <c r="B22" s="219" t="s">
        <v>397</v>
      </c>
      <c r="C22" s="197">
        <v>508.63188500000007</v>
      </c>
      <c r="D22" s="197">
        <v>56.418212500000003</v>
      </c>
      <c r="E22" s="197">
        <f t="shared" si="0"/>
        <v>565.05009750000011</v>
      </c>
      <c r="F22" s="197">
        <v>73.484685199999944</v>
      </c>
      <c r="G22" s="197">
        <v>8.1943353999999928</v>
      </c>
      <c r="H22" s="197">
        <f t="shared" si="1"/>
        <v>81.679020599999944</v>
      </c>
      <c r="I22" s="197">
        <v>435.14719980000012</v>
      </c>
      <c r="J22" s="197">
        <v>48.22387710000001</v>
      </c>
      <c r="K22" s="197">
        <f t="shared" si="2"/>
        <v>483.37107690000016</v>
      </c>
      <c r="L22" s="197">
        <v>421.95559880000002</v>
      </c>
      <c r="M22" s="197">
        <v>46.965862600000008</v>
      </c>
      <c r="N22" s="197">
        <f t="shared" si="3"/>
        <v>468.9214614</v>
      </c>
      <c r="O22" s="197">
        <f t="shared" si="7"/>
        <v>86.67628620000005</v>
      </c>
      <c r="P22" s="197">
        <f t="shared" si="4"/>
        <v>9.4523498999999944</v>
      </c>
      <c r="Q22" s="197">
        <f t="shared" si="5"/>
        <v>96.128636100000108</v>
      </c>
      <c r="R22" s="721"/>
      <c r="S22" s="139">
        <f t="shared" si="6"/>
        <v>56.418212500000003</v>
      </c>
      <c r="T22" s="721"/>
      <c r="U22" s="50"/>
      <c r="V22" s="50"/>
    </row>
    <row r="23" spans="1:22" ht="24.95" customHeight="1" x14ac:dyDescent="0.2">
      <c r="A23" s="188">
        <v>13</v>
      </c>
      <c r="B23" s="219" t="s">
        <v>398</v>
      </c>
      <c r="C23" s="197">
        <v>158.47666800000002</v>
      </c>
      <c r="D23" s="197">
        <v>17.578470000000003</v>
      </c>
      <c r="E23" s="197">
        <f t="shared" si="0"/>
        <v>176.05513800000003</v>
      </c>
      <c r="F23" s="197">
        <v>12.237226399999969</v>
      </c>
      <c r="G23" s="197">
        <v>1.3645827999999991</v>
      </c>
      <c r="H23" s="197">
        <f t="shared" si="1"/>
        <v>13.601809199999968</v>
      </c>
      <c r="I23" s="197">
        <v>146.23944160000005</v>
      </c>
      <c r="J23" s="197">
        <v>16.213887200000002</v>
      </c>
      <c r="K23" s="197">
        <f t="shared" si="2"/>
        <v>162.45332880000007</v>
      </c>
      <c r="L23" s="197">
        <v>142.40750280000003</v>
      </c>
      <c r="M23" s="197">
        <v>15.851670600000004</v>
      </c>
      <c r="N23" s="197">
        <f t="shared" si="3"/>
        <v>158.25917340000004</v>
      </c>
      <c r="O23" s="197">
        <f t="shared" si="7"/>
        <v>16.069165199999986</v>
      </c>
      <c r="P23" s="197">
        <f t="shared" si="4"/>
        <v>1.7267993999999991</v>
      </c>
      <c r="Q23" s="197">
        <f t="shared" si="5"/>
        <v>17.795964599999991</v>
      </c>
      <c r="R23" s="721"/>
      <c r="S23" s="139">
        <f t="shared" si="6"/>
        <v>17.578470000000003</v>
      </c>
      <c r="T23" s="721"/>
      <c r="U23" s="721"/>
      <c r="V23" s="721"/>
    </row>
    <row r="24" spans="1:22" s="571" customFormat="1" ht="24.95" customHeight="1" x14ac:dyDescent="0.2">
      <c r="A24" s="1168" t="s">
        <v>18</v>
      </c>
      <c r="B24" s="1159"/>
      <c r="C24" s="198">
        <f t="shared" ref="C24:Q24" si="8">SUM(C11:C23)</f>
        <v>3578.6146860000008</v>
      </c>
      <c r="D24" s="198">
        <f t="shared" si="8"/>
        <v>396.94531499999999</v>
      </c>
      <c r="E24" s="198">
        <f t="shared" si="8"/>
        <v>3975.5600010000007</v>
      </c>
      <c r="F24" s="198">
        <f t="shared" si="8"/>
        <v>468.3268823999997</v>
      </c>
      <c r="G24" s="198">
        <f t="shared" si="8"/>
        <v>52.223864799999987</v>
      </c>
      <c r="H24" s="198">
        <f t="shared" si="8"/>
        <v>520.55074719999971</v>
      </c>
      <c r="I24" s="198">
        <f t="shared" si="8"/>
        <v>3110.2797120000009</v>
      </c>
      <c r="J24" s="198">
        <f t="shared" si="8"/>
        <v>344.73497823999998</v>
      </c>
      <c r="K24" s="198">
        <f t="shared" si="8"/>
        <v>3455.0146902400011</v>
      </c>
      <c r="L24" s="198">
        <f t="shared" si="8"/>
        <v>2966.9361336000006</v>
      </c>
      <c r="M24" s="198">
        <f t="shared" si="8"/>
        <v>330.24590519999998</v>
      </c>
      <c r="N24" s="198">
        <f t="shared" si="8"/>
        <v>3297.1820388000001</v>
      </c>
      <c r="O24" s="198">
        <f t="shared" si="8"/>
        <v>611.67046080000023</v>
      </c>
      <c r="P24" s="198">
        <f t="shared" si="8"/>
        <v>66.702937840000004</v>
      </c>
      <c r="Q24" s="198">
        <f t="shared" si="8"/>
        <v>678.38339864000022</v>
      </c>
      <c r="R24" s="721"/>
      <c r="S24" s="139">
        <f t="shared" si="6"/>
        <v>396.95884303999998</v>
      </c>
      <c r="T24" s="721"/>
      <c r="U24" s="50"/>
      <c r="V24" s="50"/>
    </row>
    <row r="25" spans="1:22" s="11" customFormat="1" x14ac:dyDescent="0.2">
      <c r="A25" s="577" t="s">
        <v>698</v>
      </c>
      <c r="B25" s="569"/>
      <c r="C25" s="718"/>
      <c r="D25" s="718"/>
      <c r="E25" s="718"/>
      <c r="F25" s="718"/>
      <c r="G25" s="718"/>
      <c r="H25" s="718"/>
      <c r="I25" s="718"/>
      <c r="J25" s="718"/>
      <c r="K25" s="718"/>
      <c r="L25" s="718"/>
      <c r="M25" s="718"/>
      <c r="N25" s="718"/>
      <c r="O25" s="718"/>
      <c r="P25" s="718"/>
      <c r="Q25" s="718"/>
      <c r="R25" s="50"/>
      <c r="S25" s="50"/>
    </row>
    <row r="26" spans="1:22" s="11" customFormat="1" x14ac:dyDescent="0.2">
      <c r="A26" s="577"/>
      <c r="B26" s="581"/>
      <c r="C26" s="573"/>
      <c r="D26" s="573"/>
      <c r="E26" s="573"/>
      <c r="F26" s="573"/>
      <c r="G26" s="573"/>
      <c r="H26" s="573"/>
      <c r="I26" s="573"/>
      <c r="J26" s="573"/>
      <c r="K26" s="573"/>
      <c r="L26" s="573"/>
      <c r="M26" s="573"/>
      <c r="N26" s="573"/>
      <c r="O26" s="573"/>
      <c r="P26" s="573"/>
      <c r="Q26" s="573"/>
    </row>
    <row r="27" spans="1:22" x14ac:dyDescent="0.2">
      <c r="A27" s="575" t="s">
        <v>497</v>
      </c>
      <c r="B27" s="575"/>
      <c r="C27" s="575"/>
      <c r="D27" s="575"/>
      <c r="E27" s="575"/>
      <c r="F27" s="575"/>
      <c r="G27" s="575"/>
      <c r="H27" s="575"/>
      <c r="I27" s="575"/>
      <c r="J27" s="575"/>
      <c r="K27" s="575"/>
      <c r="L27" s="575"/>
      <c r="M27" s="575"/>
      <c r="N27" s="575"/>
      <c r="O27" s="575"/>
      <c r="P27" s="576"/>
      <c r="Q27" s="576"/>
    </row>
    <row r="28" spans="1:22" x14ac:dyDescent="0.2">
      <c r="A28" s="1224" t="s">
        <v>502</v>
      </c>
      <c r="B28" s="1224"/>
      <c r="C28" s="1224"/>
      <c r="D28" s="1224"/>
      <c r="E28" s="1224"/>
      <c r="F28" s="1224"/>
      <c r="G28" s="1224"/>
      <c r="H28" s="1224"/>
      <c r="I28" s="1224"/>
      <c r="J28" s="1224"/>
      <c r="K28" s="1224"/>
      <c r="L28" s="1224"/>
      <c r="M28" s="1224"/>
      <c r="N28" s="1224"/>
      <c r="O28" s="1224"/>
      <c r="P28" s="1224"/>
      <c r="Q28" s="1224"/>
    </row>
    <row r="29" spans="1:22" ht="15.75" customHeight="1" x14ac:dyDescent="0.2">
      <c r="A29" s="11" t="s">
        <v>11</v>
      </c>
      <c r="B29" s="11"/>
      <c r="C29" s="11"/>
      <c r="D29" s="11"/>
      <c r="E29" s="11"/>
      <c r="F29" s="11"/>
      <c r="G29" s="11"/>
      <c r="H29" s="11"/>
      <c r="I29" s="11"/>
      <c r="J29" s="11"/>
      <c r="K29" s="11"/>
      <c r="L29" s="11"/>
      <c r="M29" s="11"/>
      <c r="P29" s="1161" t="s">
        <v>12</v>
      </c>
      <c r="Q29" s="1161"/>
    </row>
    <row r="30" spans="1:22" ht="12.75" customHeight="1" x14ac:dyDescent="0.2">
      <c r="A30" s="1161" t="s">
        <v>13</v>
      </c>
      <c r="B30" s="1161"/>
      <c r="C30" s="1161"/>
      <c r="D30" s="1161"/>
      <c r="E30" s="1161"/>
      <c r="F30" s="1161"/>
      <c r="G30" s="1161"/>
      <c r="H30" s="1161"/>
      <c r="I30" s="1161"/>
      <c r="J30" s="1161"/>
      <c r="K30" s="1161"/>
      <c r="L30" s="1161"/>
      <c r="M30" s="1161"/>
      <c r="N30" s="1161"/>
      <c r="O30" s="1161"/>
      <c r="P30" s="1161"/>
      <c r="Q30" s="1161"/>
    </row>
    <row r="31" spans="1:22" ht="12.75" customHeight="1" x14ac:dyDescent="0.2">
      <c r="A31" s="1161" t="s">
        <v>19</v>
      </c>
      <c r="B31" s="1161"/>
      <c r="C31" s="1161"/>
      <c r="D31" s="1161"/>
      <c r="E31" s="1161"/>
      <c r="F31" s="1161"/>
      <c r="G31" s="1161"/>
      <c r="H31" s="1161"/>
      <c r="I31" s="1161"/>
      <c r="J31" s="1161"/>
      <c r="K31" s="1161"/>
      <c r="L31" s="1161"/>
      <c r="M31" s="1161"/>
      <c r="N31" s="1161"/>
      <c r="O31" s="1161"/>
      <c r="P31" s="1161"/>
      <c r="Q31" s="1161"/>
    </row>
    <row r="32" spans="1:22" x14ac:dyDescent="0.2">
      <c r="A32" s="11"/>
      <c r="B32" s="11"/>
      <c r="C32" s="11"/>
      <c r="D32" s="11"/>
      <c r="E32" s="11"/>
      <c r="F32" s="11"/>
      <c r="G32" s="11"/>
      <c r="H32" s="11"/>
      <c r="I32" s="11"/>
      <c r="J32" s="11"/>
      <c r="K32" s="11"/>
      <c r="L32" s="11"/>
      <c r="M32" s="11"/>
      <c r="O32" s="1037" t="s">
        <v>84</v>
      </c>
      <c r="P32" s="1037"/>
      <c r="Q32" s="1037"/>
      <c r="R32" s="24"/>
    </row>
    <row r="34" spans="3:18" x14ac:dyDescent="0.2">
      <c r="C34" s="571"/>
      <c r="D34" s="571"/>
      <c r="E34" s="571"/>
      <c r="F34" s="571"/>
      <c r="G34" s="571"/>
      <c r="H34" s="571"/>
      <c r="I34" s="571"/>
      <c r="J34" s="571"/>
      <c r="K34" s="571"/>
      <c r="L34" s="571"/>
      <c r="M34" s="571"/>
      <c r="N34" s="571"/>
      <c r="O34" s="571"/>
      <c r="P34" s="571"/>
      <c r="Q34" s="571"/>
      <c r="R34" s="571"/>
    </row>
    <row r="35" spans="3:18" x14ac:dyDescent="0.2">
      <c r="C35" s="571"/>
      <c r="D35" s="571"/>
      <c r="E35" s="571"/>
      <c r="F35" s="571"/>
      <c r="G35" s="571"/>
      <c r="H35" s="571"/>
      <c r="I35" s="571"/>
      <c r="J35" s="571"/>
      <c r="K35" s="571"/>
      <c r="L35" s="571"/>
      <c r="M35" s="571"/>
      <c r="N35" s="571"/>
      <c r="O35" s="571"/>
      <c r="P35" s="571"/>
      <c r="Q35" s="571"/>
      <c r="R35" s="571"/>
    </row>
    <row r="36" spans="3:18" x14ac:dyDescent="0.2">
      <c r="C36" s="571"/>
      <c r="D36" s="571"/>
      <c r="E36" s="571"/>
      <c r="F36" s="571"/>
      <c r="G36" s="571"/>
      <c r="H36" s="571"/>
      <c r="I36" s="571"/>
      <c r="J36" s="571"/>
      <c r="K36" s="571"/>
      <c r="L36" s="571"/>
      <c r="M36" s="571"/>
      <c r="N36" s="571"/>
      <c r="O36" s="571"/>
      <c r="P36" s="571"/>
      <c r="Q36" s="571"/>
      <c r="R36" s="571"/>
    </row>
  </sheetData>
  <mergeCells count="20">
    <mergeCell ref="B8:B9"/>
    <mergeCell ref="C8:E8"/>
    <mergeCell ref="F8:H8"/>
    <mergeCell ref="A7:C7"/>
    <mergeCell ref="A4:Q4"/>
    <mergeCell ref="A28:Q28"/>
    <mergeCell ref="O32:Q32"/>
    <mergeCell ref="A24:B24"/>
    <mergeCell ref="R1:R8"/>
    <mergeCell ref="A31:Q31"/>
    <mergeCell ref="I8:K8"/>
    <mergeCell ref="L8:N8"/>
    <mergeCell ref="O8:Q8"/>
    <mergeCell ref="P29:Q29"/>
    <mergeCell ref="A30:Q30"/>
    <mergeCell ref="P1:Q1"/>
    <mergeCell ref="A2:Q2"/>
    <mergeCell ref="A3:Q3"/>
    <mergeCell ref="N7:Q7"/>
    <mergeCell ref="A8:A9"/>
  </mergeCells>
  <phoneticPr fontId="0" type="noConversion"/>
  <printOptions horizontalCentered="1"/>
  <pageMargins left="0.38" right="0.41" top="0.23622047244094491" bottom="0" header="0.31496062992125984" footer="0.31496062992125984"/>
  <pageSetup paperSize="9" scale="8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39997558519241921"/>
    <pageSetUpPr fitToPage="1"/>
  </sheetPr>
  <dimension ref="A2:AA33"/>
  <sheetViews>
    <sheetView view="pageBreakPreview" topLeftCell="A16" zoomScale="80" zoomScaleSheetLayoutView="80" workbookViewId="0">
      <selection activeCell="F30" sqref="F30"/>
    </sheetView>
  </sheetViews>
  <sheetFormatPr defaultRowHeight="12.75" x14ac:dyDescent="0.2"/>
  <cols>
    <col min="1" max="1" width="7.85546875" customWidth="1"/>
    <col min="2" max="2" width="16" customWidth="1"/>
    <col min="3" max="3" width="14" customWidth="1"/>
    <col min="4" max="4" width="10.7109375" customWidth="1"/>
    <col min="5" max="5" width="12.42578125" customWidth="1"/>
    <col min="6" max="7" width="12" customWidth="1"/>
    <col min="10" max="10" width="11" customWidth="1"/>
    <col min="11" max="11" width="12" bestFit="1" customWidth="1"/>
    <col min="12" max="12" width="9.5703125" bestFit="1" customWidth="1"/>
    <col min="13" max="15" width="9.28515625" bestFit="1" customWidth="1"/>
    <col min="16" max="16" width="10" customWidth="1"/>
    <col min="17" max="17" width="8.85546875" customWidth="1"/>
    <col min="18" max="18" width="10" bestFit="1" customWidth="1"/>
    <col min="19" max="19" width="10.140625" customWidth="1"/>
    <col min="20" max="20" width="15.42578125" customWidth="1"/>
    <col min="21" max="21" width="14.7109375" customWidth="1"/>
    <col min="22" max="22" width="13.7109375" customWidth="1"/>
  </cols>
  <sheetData>
    <row r="2" spans="1:27" ht="15" x14ac:dyDescent="0.2">
      <c r="R2" s="32"/>
      <c r="U2" s="1225" t="s">
        <v>66</v>
      </c>
      <c r="V2" s="1225"/>
    </row>
    <row r="3" spans="1:27" ht="18" x14ac:dyDescent="0.25">
      <c r="A3" s="1234" t="s">
        <v>0</v>
      </c>
      <c r="B3" s="1234"/>
      <c r="C3" s="1234"/>
      <c r="D3" s="1234"/>
      <c r="E3" s="1234"/>
      <c r="F3" s="1234"/>
      <c r="G3" s="1234"/>
      <c r="H3" s="1234"/>
      <c r="I3" s="1234"/>
      <c r="J3" s="1234"/>
      <c r="K3" s="1234"/>
      <c r="L3" s="1234"/>
      <c r="M3" s="1234"/>
      <c r="N3" s="1234"/>
      <c r="O3" s="1234"/>
      <c r="P3" s="1234"/>
      <c r="Q3" s="1234"/>
      <c r="R3" s="1234"/>
      <c r="S3" s="1234"/>
      <c r="T3" s="1234"/>
      <c r="U3" s="1234"/>
      <c r="V3" s="1234"/>
    </row>
    <row r="4" spans="1:27" ht="18" x14ac:dyDescent="0.25">
      <c r="A4" s="1231" t="s">
        <v>788</v>
      </c>
      <c r="B4" s="1231"/>
      <c r="C4" s="1231"/>
      <c r="D4" s="1231"/>
      <c r="E4" s="1231"/>
      <c r="F4" s="1231"/>
      <c r="G4" s="1231"/>
      <c r="H4" s="1231"/>
      <c r="I4" s="1231"/>
      <c r="J4" s="1231"/>
      <c r="K4" s="1231"/>
      <c r="L4" s="1231"/>
      <c r="M4" s="1231"/>
      <c r="N4" s="1231"/>
      <c r="O4" s="1231"/>
      <c r="P4" s="1231"/>
      <c r="Q4" s="1231"/>
      <c r="R4" s="1231"/>
      <c r="S4" s="1231"/>
      <c r="T4" s="1231"/>
      <c r="U4" s="1231"/>
      <c r="V4" s="1231"/>
    </row>
    <row r="5" spans="1:27" ht="15.75" x14ac:dyDescent="0.25">
      <c r="D5" s="69"/>
      <c r="E5" s="69"/>
      <c r="F5" s="69"/>
      <c r="G5" s="69"/>
      <c r="H5" s="69"/>
      <c r="I5" s="69"/>
      <c r="J5" s="69"/>
      <c r="K5" s="69"/>
      <c r="L5" s="69"/>
      <c r="M5" s="69"/>
      <c r="N5" s="69"/>
      <c r="O5" s="69"/>
      <c r="P5" s="69"/>
      <c r="Q5" s="69"/>
    </row>
    <row r="6" spans="1:27" ht="20.25" x14ac:dyDescent="0.3">
      <c r="A6" s="1235" t="s">
        <v>249</v>
      </c>
      <c r="B6" s="1235"/>
      <c r="C6" s="1235"/>
      <c r="D6" s="1235"/>
      <c r="E6" s="1235"/>
      <c r="F6" s="1235"/>
      <c r="G6" s="1235"/>
      <c r="H6" s="1235"/>
      <c r="I6" s="1235"/>
      <c r="J6" s="1235"/>
      <c r="K6" s="1235"/>
      <c r="L6" s="1235"/>
      <c r="M6" s="1235"/>
      <c r="N6" s="1235"/>
      <c r="O6" s="1235"/>
      <c r="P6" s="1235"/>
      <c r="Q6" s="1235"/>
      <c r="R6" s="1235"/>
      <c r="S6" s="1235"/>
      <c r="T6" s="1235"/>
      <c r="U6" s="1235"/>
      <c r="V6" s="1235"/>
    </row>
    <row r="7" spans="1:27" ht="15.75" x14ac:dyDescent="0.25">
      <c r="A7" s="36"/>
      <c r="B7" s="30"/>
      <c r="C7" s="30"/>
      <c r="D7" s="30"/>
      <c r="E7" s="30"/>
      <c r="F7" s="30"/>
      <c r="G7" s="30"/>
      <c r="H7" s="30"/>
      <c r="I7" s="30"/>
      <c r="J7" s="30"/>
      <c r="K7" s="30"/>
      <c r="L7" s="30"/>
      <c r="M7" s="30"/>
      <c r="N7" s="30"/>
      <c r="O7" s="30"/>
      <c r="P7" s="24"/>
      <c r="Q7" s="24"/>
      <c r="R7" s="24"/>
      <c r="S7" s="24"/>
      <c r="U7" s="24" t="s">
        <v>243</v>
      </c>
    </row>
    <row r="8" spans="1:27" s="451" customFormat="1" ht="12" x14ac:dyDescent="0.2">
      <c r="A8" s="1147" t="s">
        <v>456</v>
      </c>
      <c r="B8" s="1147"/>
      <c r="C8" s="1147"/>
      <c r="P8" s="1230"/>
      <c r="Q8" s="1230"/>
      <c r="R8" s="1230"/>
      <c r="S8" s="1230"/>
      <c r="T8" s="466" t="s">
        <v>878</v>
      </c>
      <c r="U8" s="466"/>
      <c r="V8" s="466"/>
      <c r="W8" s="467"/>
    </row>
    <row r="9" spans="1:27" s="468" customFormat="1" ht="35.25" customHeight="1" x14ac:dyDescent="0.2">
      <c r="A9" s="1232" t="s">
        <v>25</v>
      </c>
      <c r="B9" s="1025" t="s">
        <v>216</v>
      </c>
      <c r="C9" s="1025" t="s">
        <v>227</v>
      </c>
      <c r="D9" s="1025" t="s">
        <v>228</v>
      </c>
      <c r="E9" s="1030" t="s">
        <v>876</v>
      </c>
      <c r="F9" s="1030"/>
      <c r="G9" s="1030"/>
      <c r="H9" s="1049" t="s">
        <v>877</v>
      </c>
      <c r="I9" s="1050"/>
      <c r="J9" s="1051"/>
      <c r="K9" s="1046" t="s">
        <v>572</v>
      </c>
      <c r="L9" s="1229"/>
      <c r="M9" s="1047"/>
      <c r="N9" s="1046" t="s">
        <v>169</v>
      </c>
      <c r="O9" s="1229"/>
      <c r="P9" s="1047"/>
      <c r="Q9" s="1028" t="s">
        <v>879</v>
      </c>
      <c r="R9" s="1028"/>
      <c r="S9" s="1028"/>
      <c r="T9" s="1025" t="s">
        <v>270</v>
      </c>
      <c r="U9" s="1028" t="s">
        <v>503</v>
      </c>
      <c r="V9" s="1028" t="s">
        <v>504</v>
      </c>
    </row>
    <row r="10" spans="1:27" s="468" customFormat="1" ht="65.25" customHeight="1" x14ac:dyDescent="0.2">
      <c r="A10" s="1233"/>
      <c r="B10" s="1026"/>
      <c r="C10" s="1026"/>
      <c r="D10" s="1026"/>
      <c r="E10" s="192" t="s">
        <v>190</v>
      </c>
      <c r="F10" s="192" t="s">
        <v>219</v>
      </c>
      <c r="G10" s="192" t="s">
        <v>18</v>
      </c>
      <c r="H10" s="192" t="s">
        <v>190</v>
      </c>
      <c r="I10" s="192" t="s">
        <v>219</v>
      </c>
      <c r="J10" s="192" t="s">
        <v>18</v>
      </c>
      <c r="K10" s="192" t="s">
        <v>190</v>
      </c>
      <c r="L10" s="192" t="s">
        <v>219</v>
      </c>
      <c r="M10" s="192" t="s">
        <v>18</v>
      </c>
      <c r="N10" s="192" t="s">
        <v>190</v>
      </c>
      <c r="O10" s="192" t="s">
        <v>219</v>
      </c>
      <c r="P10" s="192" t="s">
        <v>18</v>
      </c>
      <c r="Q10" s="568" t="s">
        <v>402</v>
      </c>
      <c r="R10" s="580" t="s">
        <v>710</v>
      </c>
      <c r="S10" s="192" t="s">
        <v>403</v>
      </c>
      <c r="T10" s="1026"/>
      <c r="U10" s="1028"/>
      <c r="V10" s="1028"/>
    </row>
    <row r="11" spans="1:27" ht="21.75" customHeight="1" x14ac:dyDescent="0.2">
      <c r="A11" s="90">
        <v>1</v>
      </c>
      <c r="B11" s="68">
        <v>2</v>
      </c>
      <c r="C11" s="212">
        <v>3</v>
      </c>
      <c r="D11" s="212">
        <v>4</v>
      </c>
      <c r="E11" s="212">
        <v>5</v>
      </c>
      <c r="F11" s="212">
        <v>6</v>
      </c>
      <c r="G11" s="212">
        <v>7</v>
      </c>
      <c r="H11" s="212">
        <v>8</v>
      </c>
      <c r="I11" s="212">
        <v>9</v>
      </c>
      <c r="J11" s="212">
        <v>10</v>
      </c>
      <c r="K11" s="212">
        <v>11</v>
      </c>
      <c r="L11" s="212">
        <v>12</v>
      </c>
      <c r="M11" s="212">
        <v>13</v>
      </c>
      <c r="N11" s="212">
        <v>14</v>
      </c>
      <c r="O11" s="212">
        <v>15</v>
      </c>
      <c r="P11" s="212">
        <v>16</v>
      </c>
      <c r="Q11" s="212">
        <v>17</v>
      </c>
      <c r="R11" s="212">
        <v>18</v>
      </c>
      <c r="S11" s="212">
        <v>19</v>
      </c>
      <c r="T11" s="212">
        <v>20</v>
      </c>
      <c r="U11" s="68">
        <v>21</v>
      </c>
      <c r="V11" s="68">
        <v>22</v>
      </c>
      <c r="W11" s="468"/>
      <c r="X11" s="468"/>
      <c r="Y11" s="468"/>
      <c r="Z11" s="468"/>
      <c r="AA11" s="468"/>
    </row>
    <row r="12" spans="1:27" s="38" customFormat="1" ht="37.5" customHeight="1" x14ac:dyDescent="0.2">
      <c r="A12" s="191">
        <v>1</v>
      </c>
      <c r="B12" s="219" t="s">
        <v>386</v>
      </c>
      <c r="C12" s="199">
        <v>2190</v>
      </c>
      <c r="D12" s="332">
        <v>1568</v>
      </c>
      <c r="E12" s="344">
        <v>197.10000000000002</v>
      </c>
      <c r="F12" s="344">
        <v>240.90000000000003</v>
      </c>
      <c r="G12" s="666">
        <f>E12+F12</f>
        <v>438.00000000000006</v>
      </c>
      <c r="H12" s="344">
        <v>45.81</v>
      </c>
      <c r="I12" s="344">
        <v>45.12</v>
      </c>
      <c r="J12" s="666">
        <f>H12+I12</f>
        <v>90.93</v>
      </c>
      <c r="K12" s="344">
        <v>151.29000000000002</v>
      </c>
      <c r="L12" s="344">
        <v>159.33000000000001</v>
      </c>
      <c r="M12" s="666">
        <f>K12+L12</f>
        <v>310.62</v>
      </c>
      <c r="N12" s="344">
        <v>141.61500000000001</v>
      </c>
      <c r="O12" s="344">
        <v>204.44500000000005</v>
      </c>
      <c r="P12" s="666">
        <f>N12+O12</f>
        <v>346.06000000000006</v>
      </c>
      <c r="Q12" s="344">
        <f>H12+K12-N12</f>
        <v>55.485000000000014</v>
      </c>
      <c r="R12" s="803">
        <f>I12+L12-O12</f>
        <v>4.9999999999670308E-3</v>
      </c>
      <c r="S12" s="344">
        <f>J12+M12-P12</f>
        <v>55.489999999999952</v>
      </c>
      <c r="T12" s="199" t="s">
        <v>637</v>
      </c>
      <c r="U12" s="199">
        <f>D12</f>
        <v>1568</v>
      </c>
      <c r="V12" s="199">
        <f>U12</f>
        <v>1568</v>
      </c>
      <c r="W12" s="468"/>
      <c r="X12" s="468"/>
      <c r="Y12" s="468"/>
      <c r="Z12" s="468"/>
      <c r="AA12" s="468"/>
    </row>
    <row r="13" spans="1:27" s="38" customFormat="1" ht="37.5" customHeight="1" x14ac:dyDescent="0.2">
      <c r="A13" s="191">
        <v>2</v>
      </c>
      <c r="B13" s="219" t="s">
        <v>387</v>
      </c>
      <c r="C13" s="199">
        <v>925</v>
      </c>
      <c r="D13" s="332">
        <v>730</v>
      </c>
      <c r="E13" s="344">
        <v>83.25</v>
      </c>
      <c r="F13" s="344">
        <v>101.75</v>
      </c>
      <c r="G13" s="666">
        <f t="shared" ref="G13:G24" si="0">E13+F13</f>
        <v>185</v>
      </c>
      <c r="H13" s="344">
        <v>15.11999999999999</v>
      </c>
      <c r="I13" s="344">
        <v>14.864203199999992</v>
      </c>
      <c r="J13" s="666">
        <f t="shared" ref="J13:J24" si="1">H13+I13</f>
        <v>29.984203199999982</v>
      </c>
      <c r="K13" s="344">
        <v>68.13000000000001</v>
      </c>
      <c r="L13" s="344">
        <v>80.325796799999992</v>
      </c>
      <c r="M13" s="716">
        <f t="shared" ref="M13:M24" si="2">K13+L13</f>
        <v>148.4557968</v>
      </c>
      <c r="N13" s="344">
        <v>65.933999999999997</v>
      </c>
      <c r="O13" s="344">
        <v>95.186000000000007</v>
      </c>
      <c r="P13" s="666">
        <f t="shared" ref="P13:P24" si="3">N13+O13</f>
        <v>161.12</v>
      </c>
      <c r="Q13" s="344">
        <f t="shared" ref="Q13:Q24" si="4">H13+K13-N13</f>
        <v>17.316000000000003</v>
      </c>
      <c r="R13" s="803">
        <f t="shared" ref="R13:R24" si="5">I13+L13-O13</f>
        <v>3.9999999999764668E-3</v>
      </c>
      <c r="S13" s="344">
        <f t="shared" ref="S13:S24" si="6">J13+M13-P13</f>
        <v>17.319999999999993</v>
      </c>
      <c r="T13" s="199" t="s">
        <v>637</v>
      </c>
      <c r="U13" s="199">
        <f t="shared" ref="U13:U24" si="7">D13</f>
        <v>730</v>
      </c>
      <c r="V13" s="199">
        <f t="shared" ref="V13:V24" si="8">U13</f>
        <v>730</v>
      </c>
      <c r="W13" s="468"/>
      <c r="X13" s="468"/>
      <c r="Y13" s="468"/>
      <c r="Z13" s="468"/>
      <c r="AA13" s="468"/>
    </row>
    <row r="14" spans="1:27" s="38" customFormat="1" ht="37.5" customHeight="1" x14ac:dyDescent="0.2">
      <c r="A14" s="191">
        <v>3</v>
      </c>
      <c r="B14" s="219" t="s">
        <v>388</v>
      </c>
      <c r="C14" s="199">
        <v>1467</v>
      </c>
      <c r="D14" s="332">
        <v>1243</v>
      </c>
      <c r="E14" s="344">
        <v>132.03</v>
      </c>
      <c r="F14" s="344">
        <v>161.37</v>
      </c>
      <c r="G14" s="666">
        <f t="shared" si="0"/>
        <v>293.39999999999998</v>
      </c>
      <c r="H14" s="344">
        <v>16.559999999999988</v>
      </c>
      <c r="I14" s="344">
        <v>16.279841599999983</v>
      </c>
      <c r="J14" s="666">
        <f t="shared" si="1"/>
        <v>32.839841599999971</v>
      </c>
      <c r="K14" s="344">
        <v>115.47000000000001</v>
      </c>
      <c r="L14" s="344">
        <v>145.31015839999995</v>
      </c>
      <c r="M14" s="716">
        <f t="shared" si="2"/>
        <v>260.78015839999995</v>
      </c>
      <c r="N14" s="344">
        <v>111.87000000000002</v>
      </c>
      <c r="O14" s="344">
        <v>161.59000000000003</v>
      </c>
      <c r="P14" s="666">
        <f t="shared" si="3"/>
        <v>273.46000000000004</v>
      </c>
      <c r="Q14" s="344">
        <f t="shared" si="4"/>
        <v>20.159999999999982</v>
      </c>
      <c r="R14" s="803">
        <f t="shared" si="5"/>
        <v>0</v>
      </c>
      <c r="S14" s="344">
        <f t="shared" si="6"/>
        <v>20.159999999999854</v>
      </c>
      <c r="T14" s="199" t="s">
        <v>637</v>
      </c>
      <c r="U14" s="199">
        <f t="shared" si="7"/>
        <v>1243</v>
      </c>
      <c r="V14" s="199">
        <f t="shared" si="8"/>
        <v>1243</v>
      </c>
      <c r="W14" s="468"/>
      <c r="X14" s="468"/>
      <c r="Y14" s="468"/>
      <c r="Z14" s="468"/>
      <c r="AA14" s="468"/>
    </row>
    <row r="15" spans="1:27" s="38" customFormat="1" ht="37.5" customHeight="1" x14ac:dyDescent="0.2">
      <c r="A15" s="191">
        <v>4</v>
      </c>
      <c r="B15" s="219" t="s">
        <v>389</v>
      </c>
      <c r="C15" s="199">
        <v>871</v>
      </c>
      <c r="D15" s="332">
        <v>677</v>
      </c>
      <c r="E15" s="344">
        <v>78.39</v>
      </c>
      <c r="F15" s="344">
        <v>95.810000000000016</v>
      </c>
      <c r="G15" s="666">
        <f t="shared" si="0"/>
        <v>174.20000000000002</v>
      </c>
      <c r="H15" s="344">
        <v>13.5</v>
      </c>
      <c r="I15" s="344">
        <v>13.271609999999988</v>
      </c>
      <c r="J15" s="666">
        <f t="shared" si="1"/>
        <v>26.771609999999988</v>
      </c>
      <c r="K15" s="344">
        <v>64.89</v>
      </c>
      <c r="L15" s="344">
        <v>74.98839000000001</v>
      </c>
      <c r="M15" s="716">
        <f t="shared" si="2"/>
        <v>139.87839000000002</v>
      </c>
      <c r="N15" s="344">
        <v>61.137000000000015</v>
      </c>
      <c r="O15" s="344">
        <v>88.263000000000005</v>
      </c>
      <c r="P15" s="666">
        <f t="shared" si="3"/>
        <v>149.40000000000003</v>
      </c>
      <c r="Q15" s="344">
        <f t="shared" si="4"/>
        <v>17.252999999999986</v>
      </c>
      <c r="R15" s="803">
        <f t="shared" si="5"/>
        <v>-3.0000000000143245E-3</v>
      </c>
      <c r="S15" s="344">
        <f t="shared" si="6"/>
        <v>17.249999999999972</v>
      </c>
      <c r="T15" s="199" t="s">
        <v>637</v>
      </c>
      <c r="U15" s="199">
        <f t="shared" si="7"/>
        <v>677</v>
      </c>
      <c r="V15" s="199">
        <f t="shared" si="8"/>
        <v>677</v>
      </c>
      <c r="W15" s="468"/>
      <c r="X15" s="468"/>
      <c r="Y15" s="468"/>
      <c r="Z15" s="468"/>
      <c r="AA15" s="468"/>
    </row>
    <row r="16" spans="1:27" s="38" customFormat="1" ht="37.5" customHeight="1" x14ac:dyDescent="0.2">
      <c r="A16" s="191">
        <v>5</v>
      </c>
      <c r="B16" s="221" t="s">
        <v>390</v>
      </c>
      <c r="C16" s="199">
        <v>1778</v>
      </c>
      <c r="D16" s="332">
        <v>1523</v>
      </c>
      <c r="E16" s="344">
        <v>160.02000000000001</v>
      </c>
      <c r="F16" s="344">
        <v>195.57999999999998</v>
      </c>
      <c r="G16" s="666">
        <f t="shared" si="0"/>
        <v>355.6</v>
      </c>
      <c r="H16" s="344">
        <v>19.791000000000025</v>
      </c>
      <c r="I16" s="344">
        <v>19.456180260000018</v>
      </c>
      <c r="J16" s="666">
        <f t="shared" si="1"/>
        <v>39.247180260000043</v>
      </c>
      <c r="K16" s="344">
        <v>140.22899999999998</v>
      </c>
      <c r="L16" s="344">
        <v>177.59381973999999</v>
      </c>
      <c r="M16" s="716">
        <f t="shared" si="2"/>
        <v>317.82281974</v>
      </c>
      <c r="N16" s="344">
        <v>136.30500000000001</v>
      </c>
      <c r="O16" s="344">
        <v>197.05500000000001</v>
      </c>
      <c r="P16" s="666">
        <f t="shared" si="3"/>
        <v>333.36</v>
      </c>
      <c r="Q16" s="344">
        <f t="shared" si="4"/>
        <v>23.715000000000003</v>
      </c>
      <c r="R16" s="803">
        <f t="shared" si="5"/>
        <v>-4.9999999999954525E-3</v>
      </c>
      <c r="S16" s="344">
        <f t="shared" si="6"/>
        <v>23.710000000000036</v>
      </c>
      <c r="T16" s="199" t="s">
        <v>637</v>
      </c>
      <c r="U16" s="199">
        <f t="shared" si="7"/>
        <v>1523</v>
      </c>
      <c r="V16" s="199">
        <f t="shared" si="8"/>
        <v>1523</v>
      </c>
      <c r="W16" s="468"/>
      <c r="X16" s="468"/>
      <c r="Y16" s="468"/>
      <c r="Z16" s="468"/>
      <c r="AA16" s="468"/>
    </row>
    <row r="17" spans="1:27" s="38" customFormat="1" ht="37.5" customHeight="1" x14ac:dyDescent="0.2">
      <c r="A17" s="191">
        <v>6</v>
      </c>
      <c r="B17" s="219" t="s">
        <v>391</v>
      </c>
      <c r="C17" s="199">
        <v>2057</v>
      </c>
      <c r="D17" s="332">
        <v>1656</v>
      </c>
      <c r="E17" s="344">
        <v>185.13000000000002</v>
      </c>
      <c r="F17" s="344">
        <v>226.27000000000004</v>
      </c>
      <c r="G17" s="666">
        <f t="shared" si="0"/>
        <v>411.40000000000009</v>
      </c>
      <c r="H17" s="344">
        <v>36.566999999999979</v>
      </c>
      <c r="I17" s="344">
        <v>35.948367619999985</v>
      </c>
      <c r="J17" s="666">
        <f t="shared" si="1"/>
        <v>72.515367619999964</v>
      </c>
      <c r="K17" s="344">
        <v>148.56300000000005</v>
      </c>
      <c r="L17" s="344">
        <v>178.80163237999997</v>
      </c>
      <c r="M17" s="716">
        <f t="shared" si="2"/>
        <v>327.36463237999999</v>
      </c>
      <c r="N17" s="344">
        <v>148.608</v>
      </c>
      <c r="O17" s="344">
        <v>214.75200000000001</v>
      </c>
      <c r="P17" s="666">
        <f t="shared" si="3"/>
        <v>363.36</v>
      </c>
      <c r="Q17" s="344">
        <f t="shared" si="4"/>
        <v>36.52200000000002</v>
      </c>
      <c r="R17" s="803">
        <f t="shared" si="5"/>
        <v>-2.0000000000663931E-3</v>
      </c>
      <c r="S17" s="344">
        <f t="shared" si="6"/>
        <v>36.519999999999925</v>
      </c>
      <c r="T17" s="199" t="s">
        <v>637</v>
      </c>
      <c r="U17" s="199">
        <f t="shared" si="7"/>
        <v>1656</v>
      </c>
      <c r="V17" s="199">
        <f t="shared" si="8"/>
        <v>1656</v>
      </c>
      <c r="W17" s="468"/>
      <c r="X17" s="468"/>
      <c r="Y17" s="468"/>
      <c r="Z17" s="468"/>
      <c r="AA17" s="468"/>
    </row>
    <row r="18" spans="1:27" s="38" customFormat="1" ht="37.5" customHeight="1" x14ac:dyDescent="0.2">
      <c r="A18" s="191">
        <v>7</v>
      </c>
      <c r="B18" s="221" t="s">
        <v>392</v>
      </c>
      <c r="C18" s="199">
        <v>1894</v>
      </c>
      <c r="D18" s="332">
        <v>1447</v>
      </c>
      <c r="E18" s="344">
        <v>170.46</v>
      </c>
      <c r="F18" s="344">
        <v>208.34000000000003</v>
      </c>
      <c r="G18" s="666">
        <f t="shared" si="0"/>
        <v>378.80000000000007</v>
      </c>
      <c r="H18" s="344">
        <v>38.078999999999979</v>
      </c>
      <c r="I18" s="344">
        <v>37.43478794</v>
      </c>
      <c r="J18" s="666">
        <f t="shared" si="1"/>
        <v>75.513787939999986</v>
      </c>
      <c r="K18" s="344">
        <v>132.38100000000003</v>
      </c>
      <c r="L18" s="344">
        <v>150.70521205999998</v>
      </c>
      <c r="M18" s="716">
        <f t="shared" si="2"/>
        <v>283.08621205999998</v>
      </c>
      <c r="N18" s="344">
        <v>130.25700000000001</v>
      </c>
      <c r="O18" s="344">
        <v>188.14300000000003</v>
      </c>
      <c r="P18" s="666">
        <f t="shared" si="3"/>
        <v>318.40000000000003</v>
      </c>
      <c r="Q18" s="344">
        <f t="shared" si="4"/>
        <v>40.203000000000003</v>
      </c>
      <c r="R18" s="803">
        <f t="shared" si="5"/>
        <v>-3.0000000000427463E-3</v>
      </c>
      <c r="S18" s="344">
        <f t="shared" si="6"/>
        <v>40.199999999999932</v>
      </c>
      <c r="T18" s="199" t="s">
        <v>637</v>
      </c>
      <c r="U18" s="199">
        <f t="shared" si="7"/>
        <v>1447</v>
      </c>
      <c r="V18" s="199">
        <f t="shared" si="8"/>
        <v>1447</v>
      </c>
      <c r="W18" s="468"/>
      <c r="X18" s="468"/>
      <c r="Y18" s="468"/>
      <c r="Z18" s="468"/>
      <c r="AA18" s="468"/>
    </row>
    <row r="19" spans="1:27" s="38" customFormat="1" ht="37.5" customHeight="1" x14ac:dyDescent="0.2">
      <c r="A19" s="191">
        <v>8</v>
      </c>
      <c r="B19" s="219" t="s">
        <v>393</v>
      </c>
      <c r="C19" s="199">
        <v>2308</v>
      </c>
      <c r="D19" s="332">
        <v>1723</v>
      </c>
      <c r="E19" s="344">
        <v>207.72000000000003</v>
      </c>
      <c r="F19" s="344">
        <v>253.88000000000005</v>
      </c>
      <c r="G19" s="666">
        <f t="shared" si="0"/>
        <v>461.60000000000008</v>
      </c>
      <c r="H19" s="344">
        <v>42.011999999999972</v>
      </c>
      <c r="I19" s="344">
        <v>41.301250320000008</v>
      </c>
      <c r="J19" s="666">
        <f t="shared" si="1"/>
        <v>83.31325031999998</v>
      </c>
      <c r="K19" s="344">
        <v>165.70800000000006</v>
      </c>
      <c r="L19" s="344">
        <v>182.70874968000001</v>
      </c>
      <c r="M19" s="716">
        <f t="shared" si="2"/>
        <v>348.41674968000007</v>
      </c>
      <c r="N19" s="344">
        <v>155.08799999999999</v>
      </c>
      <c r="O19" s="344">
        <v>224.01200000000006</v>
      </c>
      <c r="P19" s="666">
        <f t="shared" si="3"/>
        <v>379.1</v>
      </c>
      <c r="Q19" s="344">
        <f t="shared" si="4"/>
        <v>52.632000000000033</v>
      </c>
      <c r="R19" s="803">
        <f t="shared" si="5"/>
        <v>-2.0000000000379714E-3</v>
      </c>
      <c r="S19" s="344">
        <f t="shared" si="6"/>
        <v>52.629999999999995</v>
      </c>
      <c r="T19" s="199" t="s">
        <v>637</v>
      </c>
      <c r="U19" s="199">
        <f t="shared" si="7"/>
        <v>1723</v>
      </c>
      <c r="V19" s="199">
        <f t="shared" si="8"/>
        <v>1723</v>
      </c>
      <c r="W19" s="468"/>
      <c r="X19" s="468"/>
      <c r="Y19" s="468"/>
      <c r="Z19" s="468"/>
      <c r="AA19" s="468"/>
    </row>
    <row r="20" spans="1:27" s="38" customFormat="1" ht="37.5" customHeight="1" x14ac:dyDescent="0.2">
      <c r="A20" s="191">
        <v>9</v>
      </c>
      <c r="B20" s="219" t="s">
        <v>394</v>
      </c>
      <c r="C20" s="199">
        <v>1635</v>
      </c>
      <c r="D20" s="332">
        <v>1301</v>
      </c>
      <c r="E20" s="344">
        <v>147.15</v>
      </c>
      <c r="F20" s="344">
        <v>179.85</v>
      </c>
      <c r="G20" s="666">
        <f t="shared" si="0"/>
        <v>327</v>
      </c>
      <c r="H20" s="344">
        <v>26.819999999999993</v>
      </c>
      <c r="I20" s="344">
        <v>26.366265200000001</v>
      </c>
      <c r="J20" s="666">
        <f t="shared" si="1"/>
        <v>53.186265199999994</v>
      </c>
      <c r="K20" s="344">
        <v>120.33000000000001</v>
      </c>
      <c r="L20" s="344">
        <v>143.01373480000001</v>
      </c>
      <c r="M20" s="716">
        <f t="shared" si="2"/>
        <v>263.34373479999999</v>
      </c>
      <c r="N20" s="344">
        <v>117.297</v>
      </c>
      <c r="O20" s="344">
        <v>169.38300000000001</v>
      </c>
      <c r="P20" s="666">
        <f t="shared" si="3"/>
        <v>286.68</v>
      </c>
      <c r="Q20" s="344">
        <f t="shared" si="4"/>
        <v>29.853000000000009</v>
      </c>
      <c r="R20" s="803">
        <f t="shared" si="5"/>
        <v>-3.0000000000143245E-3</v>
      </c>
      <c r="S20" s="344">
        <f t="shared" si="6"/>
        <v>29.849999999999966</v>
      </c>
      <c r="T20" s="199" t="s">
        <v>637</v>
      </c>
      <c r="U20" s="199">
        <f t="shared" si="7"/>
        <v>1301</v>
      </c>
      <c r="V20" s="199">
        <f t="shared" si="8"/>
        <v>1301</v>
      </c>
      <c r="W20" s="468"/>
      <c r="X20" s="468"/>
      <c r="Y20" s="468"/>
      <c r="Z20" s="468"/>
      <c r="AA20" s="468"/>
    </row>
    <row r="21" spans="1:27" s="38" customFormat="1" ht="37.5" customHeight="1" x14ac:dyDescent="0.2">
      <c r="A21" s="191">
        <v>10</v>
      </c>
      <c r="B21" s="219" t="s">
        <v>395</v>
      </c>
      <c r="C21" s="199">
        <v>911</v>
      </c>
      <c r="D21" s="332">
        <v>697</v>
      </c>
      <c r="E21" s="344">
        <v>81.990000000000009</v>
      </c>
      <c r="F21" s="344">
        <v>100.21000000000001</v>
      </c>
      <c r="G21" s="418">
        <f t="shared" si="0"/>
        <v>182.20000000000002</v>
      </c>
      <c r="H21" s="344">
        <v>16.397999999999982</v>
      </c>
      <c r="I21" s="344">
        <v>16.12058227999999</v>
      </c>
      <c r="J21" s="418">
        <f t="shared" si="1"/>
        <v>32.518582279999976</v>
      </c>
      <c r="K21" s="344">
        <v>65.592000000000027</v>
      </c>
      <c r="L21" s="344">
        <v>74.499417719999997</v>
      </c>
      <c r="M21" s="716">
        <f t="shared" si="2"/>
        <v>140.09141772000004</v>
      </c>
      <c r="N21" s="344">
        <v>62.739000000000004</v>
      </c>
      <c r="O21" s="344">
        <v>90.621000000000009</v>
      </c>
      <c r="P21" s="418">
        <f t="shared" si="3"/>
        <v>153.36000000000001</v>
      </c>
      <c r="Q21" s="344">
        <f t="shared" si="4"/>
        <v>19.251000000000005</v>
      </c>
      <c r="R21" s="803">
        <f t="shared" si="5"/>
        <v>-1.0000000000189857E-3</v>
      </c>
      <c r="S21" s="344">
        <f t="shared" si="6"/>
        <v>19.25</v>
      </c>
      <c r="T21" s="199" t="s">
        <v>637</v>
      </c>
      <c r="U21" s="199">
        <f>D21</f>
        <v>697</v>
      </c>
      <c r="V21" s="199">
        <f t="shared" si="8"/>
        <v>697</v>
      </c>
      <c r="W21" s="468"/>
      <c r="X21" s="468"/>
      <c r="Y21" s="468"/>
      <c r="Z21" s="468"/>
      <c r="AA21" s="468"/>
    </row>
    <row r="22" spans="1:27" s="38" customFormat="1" ht="37.5" customHeight="1" x14ac:dyDescent="0.2">
      <c r="A22" s="191">
        <v>11</v>
      </c>
      <c r="B22" s="219" t="s">
        <v>396</v>
      </c>
      <c r="C22" s="199">
        <v>2356</v>
      </c>
      <c r="D22" s="332">
        <v>1734</v>
      </c>
      <c r="E22" s="344">
        <v>212.04000000000002</v>
      </c>
      <c r="F22" s="344">
        <v>259.16000000000003</v>
      </c>
      <c r="G22" s="666">
        <f t="shared" si="0"/>
        <v>471.20000000000005</v>
      </c>
      <c r="H22" s="344">
        <v>45.557999999999993</v>
      </c>
      <c r="I22" s="344">
        <v>44.787259880000057</v>
      </c>
      <c r="J22" s="666">
        <f t="shared" si="1"/>
        <v>90.345259880000043</v>
      </c>
      <c r="K22" s="344">
        <v>166.48200000000003</v>
      </c>
      <c r="L22" s="344">
        <v>180.64274012000001</v>
      </c>
      <c r="M22" s="716">
        <f t="shared" si="2"/>
        <v>347.12474012000007</v>
      </c>
      <c r="N22" s="344">
        <v>156.05100000000002</v>
      </c>
      <c r="O22" s="344">
        <v>225.42</v>
      </c>
      <c r="P22" s="666">
        <f t="shared" si="3"/>
        <v>381.471</v>
      </c>
      <c r="Q22" s="344">
        <f t="shared" si="4"/>
        <v>55.989000000000004</v>
      </c>
      <c r="R22" s="803">
        <f>I22+L22-O22</f>
        <v>1.000000000007617E-2</v>
      </c>
      <c r="S22" s="344">
        <f t="shared" si="6"/>
        <v>55.999000000000137</v>
      </c>
      <c r="T22" s="199" t="s">
        <v>637</v>
      </c>
      <c r="U22" s="199">
        <f t="shared" si="7"/>
        <v>1734</v>
      </c>
      <c r="V22" s="199">
        <f t="shared" si="8"/>
        <v>1734</v>
      </c>
      <c r="W22" s="468"/>
      <c r="X22" s="468"/>
      <c r="Y22" s="468"/>
      <c r="Z22" s="468"/>
      <c r="AA22" s="468"/>
    </row>
    <row r="23" spans="1:27" s="38" customFormat="1" ht="37.5" customHeight="1" x14ac:dyDescent="0.2">
      <c r="A23" s="191">
        <v>12</v>
      </c>
      <c r="B23" s="219" t="s">
        <v>397</v>
      </c>
      <c r="C23" s="199">
        <v>1995</v>
      </c>
      <c r="D23" s="332">
        <v>1783</v>
      </c>
      <c r="E23" s="344">
        <v>179.55</v>
      </c>
      <c r="F23" s="344">
        <v>219.45000000000005</v>
      </c>
      <c r="G23" s="666">
        <f t="shared" si="0"/>
        <v>399.00000000000006</v>
      </c>
      <c r="H23" s="344">
        <v>15.146999999999991</v>
      </c>
      <c r="I23" s="344">
        <v>14.890746419999981</v>
      </c>
      <c r="J23" s="666">
        <f t="shared" si="1"/>
        <v>30.037746419999973</v>
      </c>
      <c r="K23" s="344">
        <v>164.40300000000002</v>
      </c>
      <c r="L23" s="344">
        <v>215.91225358</v>
      </c>
      <c r="M23" s="716">
        <f t="shared" si="2"/>
        <v>380.31525357999999</v>
      </c>
      <c r="N23" s="344">
        <v>159.65</v>
      </c>
      <c r="O23" s="344">
        <v>230.8</v>
      </c>
      <c r="P23" s="666">
        <f t="shared" si="3"/>
        <v>390.45000000000005</v>
      </c>
      <c r="Q23" s="344">
        <f t="shared" si="4"/>
        <v>19.900000000000006</v>
      </c>
      <c r="R23" s="803">
        <f t="shared" si="5"/>
        <v>2.9999999999574811E-3</v>
      </c>
      <c r="S23" s="344">
        <f t="shared" si="6"/>
        <v>19.902999999999906</v>
      </c>
      <c r="T23" s="199" t="s">
        <v>637</v>
      </c>
      <c r="U23" s="199">
        <f t="shared" si="7"/>
        <v>1783</v>
      </c>
      <c r="V23" s="199">
        <f t="shared" si="8"/>
        <v>1783</v>
      </c>
      <c r="W23" s="468"/>
      <c r="X23" s="468"/>
      <c r="Y23" s="468"/>
      <c r="Z23" s="468"/>
      <c r="AA23" s="468"/>
    </row>
    <row r="24" spans="1:27" s="38" customFormat="1" ht="37.5" customHeight="1" x14ac:dyDescent="0.2">
      <c r="A24" s="191">
        <v>13</v>
      </c>
      <c r="B24" s="219" t="s">
        <v>398</v>
      </c>
      <c r="C24" s="199">
        <v>1174</v>
      </c>
      <c r="D24" s="332">
        <v>988</v>
      </c>
      <c r="E24" s="344">
        <v>105.66000000000001</v>
      </c>
      <c r="F24" s="344">
        <v>129.13999999999999</v>
      </c>
      <c r="G24" s="666">
        <f t="shared" si="0"/>
        <v>234.8</v>
      </c>
      <c r="H24" s="344">
        <v>12.744</v>
      </c>
      <c r="I24" s="344">
        <v>12.528399839999972</v>
      </c>
      <c r="J24" s="666">
        <f t="shared" si="1"/>
        <v>25.27239983999997</v>
      </c>
      <c r="K24" s="344">
        <v>92.916000000000011</v>
      </c>
      <c r="L24" s="344">
        <v>116.12160015999999</v>
      </c>
      <c r="M24" s="716">
        <f t="shared" si="2"/>
        <v>209.03760016000001</v>
      </c>
      <c r="N24" s="344">
        <v>89.091000000000008</v>
      </c>
      <c r="O24" s="344">
        <v>128.649</v>
      </c>
      <c r="P24" s="666">
        <f t="shared" si="3"/>
        <v>217.74</v>
      </c>
      <c r="Q24" s="344">
        <f t="shared" si="4"/>
        <v>16.569000000000003</v>
      </c>
      <c r="R24" s="803">
        <f t="shared" si="5"/>
        <v>9.9999999994793143E-4</v>
      </c>
      <c r="S24" s="344">
        <f t="shared" si="6"/>
        <v>16.569999999999965</v>
      </c>
      <c r="T24" s="199" t="s">
        <v>637</v>
      </c>
      <c r="U24" s="199">
        <f t="shared" si="7"/>
        <v>988</v>
      </c>
      <c r="V24" s="199">
        <f t="shared" si="8"/>
        <v>988</v>
      </c>
      <c r="W24" s="468"/>
      <c r="X24" s="468"/>
      <c r="Y24" s="468"/>
      <c r="Z24" s="468"/>
      <c r="AA24" s="468"/>
    </row>
    <row r="25" spans="1:27" s="38" customFormat="1" ht="37.5" customHeight="1" x14ac:dyDescent="0.2">
      <c r="A25" s="191" t="s">
        <v>18</v>
      </c>
      <c r="B25" s="191"/>
      <c r="C25" s="191">
        <f t="shared" ref="C25:Q25" si="9">SUM(C12:C24)</f>
        <v>21561</v>
      </c>
      <c r="D25" s="191">
        <f t="shared" si="9"/>
        <v>17070</v>
      </c>
      <c r="E25" s="802">
        <f t="shared" si="9"/>
        <v>1940.49</v>
      </c>
      <c r="F25" s="802">
        <f t="shared" si="9"/>
        <v>2371.71</v>
      </c>
      <c r="G25" s="802">
        <f>SUM(G12:G24)</f>
        <v>4312.2</v>
      </c>
      <c r="H25" s="802">
        <f t="shared" si="9"/>
        <v>344.10599999999988</v>
      </c>
      <c r="I25" s="802">
        <f t="shared" si="9"/>
        <v>338.36949456000002</v>
      </c>
      <c r="J25" s="802">
        <f t="shared" si="9"/>
        <v>682.47549455999979</v>
      </c>
      <c r="K25" s="802">
        <f t="shared" si="9"/>
        <v>1596.3840000000002</v>
      </c>
      <c r="L25" s="802">
        <f t="shared" si="9"/>
        <v>1879.9535054400003</v>
      </c>
      <c r="M25" s="802">
        <f t="shared" si="9"/>
        <v>3476.3375054399994</v>
      </c>
      <c r="N25" s="802">
        <f t="shared" si="9"/>
        <v>1535.6420000000003</v>
      </c>
      <c r="O25" s="802">
        <f t="shared" si="9"/>
        <v>2218.3190000000004</v>
      </c>
      <c r="P25" s="802">
        <f t="shared" si="9"/>
        <v>3753.9610000000002</v>
      </c>
      <c r="Q25" s="802">
        <f t="shared" si="9"/>
        <v>404.84800000000013</v>
      </c>
      <c r="R25" s="802">
        <f>SUM(R12:R24)+0.01</f>
        <v>1.3999999999734883E-2</v>
      </c>
      <c r="S25" s="802">
        <f>SUM(S12:S24)</f>
        <v>404.85199999999963</v>
      </c>
      <c r="T25" s="191"/>
      <c r="U25" s="191">
        <f>SUM(U12:U24)</f>
        <v>17070</v>
      </c>
      <c r="V25" s="191">
        <f>SUM(V12:V24)</f>
        <v>17070</v>
      </c>
      <c r="W25" s="468"/>
      <c r="X25" s="468"/>
      <c r="Y25" s="468"/>
      <c r="Z25" s="468"/>
      <c r="AA25" s="468"/>
    </row>
    <row r="26" spans="1:27" ht="23.25" customHeight="1" x14ac:dyDescent="0.2">
      <c r="A26" s="278"/>
      <c r="B26" s="278"/>
      <c r="C26" s="426">
        <f>'AT-8A_Hon_CCH_UPRY'!C26</f>
        <v>11428</v>
      </c>
      <c r="D26" s="960">
        <f>'AT-8A_Hon_CCH_UPRY'!D26</f>
        <v>9462</v>
      </c>
      <c r="E26" s="717"/>
      <c r="F26" s="717"/>
      <c r="G26" s="960">
        <f>'AT-8A_Hon_CCH_UPRY'!G26</f>
        <v>2285.6000000000004</v>
      </c>
      <c r="H26" s="717"/>
      <c r="I26" s="717"/>
      <c r="J26" s="717"/>
      <c r="K26" s="717"/>
      <c r="L26" s="717"/>
      <c r="M26" s="717"/>
      <c r="N26" s="717"/>
      <c r="O26" s="717"/>
      <c r="P26" s="960">
        <f>'AT-8A_Hon_CCH_UPRY'!P26</f>
        <v>2076.9000000000005</v>
      </c>
      <c r="Q26" s="717"/>
      <c r="R26" s="717"/>
      <c r="S26" s="717"/>
      <c r="T26" s="426"/>
      <c r="U26" s="426"/>
      <c r="V26" s="426"/>
    </row>
    <row r="27" spans="1:27" ht="20.25" customHeight="1" x14ac:dyDescent="0.25">
      <c r="A27" s="20"/>
      <c r="C27" s="962">
        <f>C25+C26</f>
        <v>32989</v>
      </c>
      <c r="D27" s="962">
        <f>D25+D26</f>
        <v>26532</v>
      </c>
      <c r="G27" s="962">
        <f>G25+G26</f>
        <v>6597.8</v>
      </c>
      <c r="K27" s="426"/>
      <c r="P27" s="962">
        <f>P25+P26</f>
        <v>5830.8610000000008</v>
      </c>
    </row>
    <row r="28" spans="1:27" ht="20.25" customHeight="1" x14ac:dyDescent="0.25">
      <c r="A28" s="11"/>
      <c r="D28" s="973">
        <f>D27/C27</f>
        <v>0.804268089363121</v>
      </c>
      <c r="K28" s="426"/>
      <c r="P28" s="973">
        <f>P27/G27</f>
        <v>0.8837583740034558</v>
      </c>
    </row>
    <row r="30" spans="1:27" ht="15.75" x14ac:dyDescent="0.25">
      <c r="A30" s="10" t="s">
        <v>11</v>
      </c>
      <c r="B30" s="10"/>
      <c r="C30" s="10"/>
      <c r="D30" s="10"/>
      <c r="E30" s="10"/>
      <c r="F30" s="10"/>
      <c r="G30" s="10"/>
      <c r="H30" s="10"/>
      <c r="I30" s="10"/>
      <c r="J30" s="10"/>
      <c r="K30" s="10"/>
      <c r="L30" s="10"/>
      <c r="M30" s="10"/>
      <c r="N30" s="48"/>
      <c r="O30" s="48"/>
      <c r="P30" s="48"/>
      <c r="Q30" s="48"/>
      <c r="R30" s="48"/>
      <c r="S30" s="48"/>
      <c r="T30" s="48"/>
      <c r="U30" s="1228" t="s">
        <v>12</v>
      </c>
      <c r="V30" s="1228"/>
    </row>
    <row r="31" spans="1:27" ht="15.75" x14ac:dyDescent="0.2">
      <c r="A31" s="1228" t="s">
        <v>13</v>
      </c>
      <c r="B31" s="1228"/>
      <c r="C31" s="1228"/>
      <c r="D31" s="1228"/>
      <c r="E31" s="1228"/>
      <c r="F31" s="1228"/>
      <c r="G31" s="1228"/>
      <c r="H31" s="1228"/>
      <c r="I31" s="1228"/>
      <c r="J31" s="1228"/>
      <c r="K31" s="1228"/>
      <c r="L31" s="1228"/>
      <c r="M31" s="1228"/>
      <c r="N31" s="1228"/>
      <c r="O31" s="1228"/>
      <c r="P31" s="1228"/>
      <c r="Q31" s="1228"/>
      <c r="R31" s="1228"/>
      <c r="S31" s="1228"/>
      <c r="T31" s="1228"/>
      <c r="U31" s="1228"/>
      <c r="V31" s="1228"/>
    </row>
    <row r="32" spans="1:27" ht="15.75" x14ac:dyDescent="0.2">
      <c r="A32" s="1228" t="s">
        <v>19</v>
      </c>
      <c r="B32" s="1228"/>
      <c r="C32" s="1228"/>
      <c r="D32" s="1228"/>
      <c r="E32" s="1228"/>
      <c r="F32" s="1228"/>
      <c r="G32" s="1228"/>
      <c r="H32" s="1228"/>
      <c r="I32" s="1228"/>
      <c r="J32" s="1228"/>
      <c r="K32" s="1228"/>
      <c r="L32" s="1228"/>
      <c r="M32" s="1228"/>
      <c r="N32" s="1228"/>
      <c r="O32" s="1228"/>
      <c r="P32" s="1228"/>
      <c r="Q32" s="1228"/>
      <c r="R32" s="1228"/>
      <c r="S32" s="1228"/>
      <c r="T32" s="1228"/>
      <c r="U32" s="1228"/>
      <c r="V32" s="1228"/>
    </row>
    <row r="33" spans="1:22" ht="15.75" x14ac:dyDescent="0.25">
      <c r="A33" s="48"/>
      <c r="B33" s="48"/>
      <c r="C33" s="48"/>
      <c r="D33" s="48"/>
      <c r="E33" s="48"/>
      <c r="F33" s="48"/>
      <c r="G33" s="48"/>
      <c r="H33" s="48"/>
      <c r="I33" s="48"/>
      <c r="J33" s="48"/>
      <c r="K33" s="48"/>
      <c r="L33" s="48"/>
      <c r="M33" s="48"/>
      <c r="N33" s="48"/>
      <c r="O33" s="48"/>
      <c r="P33" s="48"/>
      <c r="Q33" s="48"/>
      <c r="R33" s="48"/>
      <c r="S33" s="48"/>
      <c r="T33" s="69" t="s">
        <v>84</v>
      </c>
      <c r="U33" s="48"/>
      <c r="V33" s="48"/>
    </row>
  </sheetData>
  <mergeCells count="21">
    <mergeCell ref="U2:V2"/>
    <mergeCell ref="E9:G9"/>
    <mergeCell ref="Q9:S9"/>
    <mergeCell ref="A8:C8"/>
    <mergeCell ref="P8:S8"/>
    <mergeCell ref="A4:V4"/>
    <mergeCell ref="A9:A10"/>
    <mergeCell ref="U9:U10"/>
    <mergeCell ref="K9:M9"/>
    <mergeCell ref="A3:V3"/>
    <mergeCell ref="V9:V10"/>
    <mergeCell ref="H9:J9"/>
    <mergeCell ref="A6:V6"/>
    <mergeCell ref="A32:V32"/>
    <mergeCell ref="C9:C10"/>
    <mergeCell ref="T9:T10"/>
    <mergeCell ref="D9:D10"/>
    <mergeCell ref="B9:B10"/>
    <mergeCell ref="N9:P9"/>
    <mergeCell ref="A31:V31"/>
    <mergeCell ref="U30:V30"/>
  </mergeCells>
  <printOptions horizontalCentered="1"/>
  <pageMargins left="0.32" right="0.36" top="0.23622047244094491" bottom="0" header="0.31496062992125984" footer="0.27"/>
  <pageSetup paperSize="9" scale="5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39997558519241921"/>
    <pageSetUpPr fitToPage="1"/>
  </sheetPr>
  <dimension ref="A2:AC34"/>
  <sheetViews>
    <sheetView view="pageBreakPreview" topLeftCell="A14" zoomScale="80" zoomScaleSheetLayoutView="80" workbookViewId="0">
      <selection activeCell="C25" sqref="C25:V25"/>
    </sheetView>
  </sheetViews>
  <sheetFormatPr defaultRowHeight="12.75" x14ac:dyDescent="0.2"/>
  <cols>
    <col min="1" max="1" width="6.85546875" customWidth="1"/>
    <col min="2" max="2" width="15.85546875" customWidth="1"/>
    <col min="3" max="3" width="13.7109375" customWidth="1"/>
    <col min="4" max="4" width="11.140625" customWidth="1"/>
    <col min="5" max="5" width="10" customWidth="1"/>
    <col min="6" max="6" width="11" customWidth="1"/>
    <col min="7" max="7" width="11.140625" customWidth="1"/>
    <col min="8" max="8" width="9.42578125" bestFit="1" customWidth="1"/>
    <col min="9" max="9" width="9.7109375" customWidth="1"/>
    <col min="10" max="10" width="9.42578125" bestFit="1" customWidth="1"/>
    <col min="11" max="11" width="9.85546875" bestFit="1" customWidth="1"/>
    <col min="12" max="13" width="10.5703125" bestFit="1" customWidth="1"/>
    <col min="14" max="14" width="10.7109375" bestFit="1" customWidth="1"/>
    <col min="15" max="15" width="11.85546875" bestFit="1" customWidth="1"/>
    <col min="16" max="16" width="10" customWidth="1"/>
    <col min="17" max="17" width="10.140625" customWidth="1"/>
    <col min="18" max="18" width="11" bestFit="1" customWidth="1"/>
    <col min="19" max="19" width="10.140625" customWidth="1"/>
    <col min="20" max="20" width="12.7109375" customWidth="1"/>
    <col min="21" max="21" width="10.5703125" customWidth="1"/>
    <col min="22" max="22" width="14.85546875" customWidth="1"/>
  </cols>
  <sheetData>
    <row r="2" spans="1:29" ht="15" x14ac:dyDescent="0.2">
      <c r="T2" s="1237" t="s">
        <v>221</v>
      </c>
      <c r="U2" s="1237"/>
      <c r="V2" s="1237"/>
    </row>
    <row r="4" spans="1:29" ht="18" x14ac:dyDescent="0.25">
      <c r="A4" s="1234" t="s">
        <v>0</v>
      </c>
      <c r="B4" s="1234"/>
      <c r="C4" s="1234"/>
      <c r="D4" s="1234"/>
      <c r="E4" s="1234"/>
      <c r="F4" s="1234"/>
      <c r="G4" s="1234"/>
      <c r="H4" s="1234"/>
      <c r="I4" s="1234"/>
      <c r="J4" s="1234"/>
      <c r="K4" s="1234"/>
      <c r="L4" s="1234"/>
      <c r="M4" s="1234"/>
      <c r="N4" s="1234"/>
      <c r="O4" s="1234"/>
      <c r="P4" s="1234"/>
      <c r="Q4" s="1234"/>
      <c r="R4" s="1234"/>
      <c r="S4" s="1234"/>
      <c r="T4" s="1234"/>
      <c r="U4" s="1234"/>
      <c r="V4" s="1234"/>
    </row>
    <row r="5" spans="1:29" ht="18" x14ac:dyDescent="0.25">
      <c r="A5" s="1231" t="s">
        <v>788</v>
      </c>
      <c r="B5" s="1231"/>
      <c r="C5" s="1231"/>
      <c r="D5" s="1231"/>
      <c r="E5" s="1231"/>
      <c r="F5" s="1231"/>
      <c r="G5" s="1231"/>
      <c r="H5" s="1231"/>
      <c r="I5" s="1231"/>
      <c r="J5" s="1231"/>
      <c r="K5" s="1231"/>
      <c r="L5" s="1231"/>
      <c r="M5" s="1231"/>
      <c r="N5" s="1231"/>
      <c r="O5" s="1231"/>
      <c r="P5" s="1231"/>
      <c r="Q5" s="1231"/>
      <c r="R5" s="1231"/>
      <c r="S5" s="1231"/>
      <c r="T5" s="1231"/>
      <c r="U5" s="1231"/>
      <c r="V5" s="1231"/>
    </row>
    <row r="6" spans="1:29" ht="15.75" x14ac:dyDescent="0.25">
      <c r="D6" s="69"/>
      <c r="E6" s="69"/>
      <c r="F6" s="69"/>
      <c r="G6" s="69"/>
      <c r="H6" s="69"/>
      <c r="I6" s="69"/>
      <c r="J6" s="69"/>
      <c r="K6" s="69"/>
      <c r="L6" s="69"/>
      <c r="M6" s="69"/>
      <c r="N6" s="69"/>
      <c r="O6" s="69"/>
      <c r="P6" s="69"/>
      <c r="Q6" s="69"/>
    </row>
    <row r="7" spans="1:29" ht="20.25" x14ac:dyDescent="0.3">
      <c r="A7" s="1235" t="s">
        <v>252</v>
      </c>
      <c r="B7" s="1235"/>
      <c r="C7" s="1235"/>
      <c r="D7" s="1235"/>
      <c r="E7" s="1235"/>
      <c r="F7" s="1235"/>
      <c r="G7" s="1235"/>
      <c r="H7" s="1235"/>
      <c r="I7" s="1235"/>
      <c r="J7" s="1235"/>
      <c r="K7" s="1235"/>
      <c r="L7" s="1235"/>
      <c r="M7" s="1235"/>
      <c r="N7" s="1235"/>
      <c r="O7" s="1235"/>
      <c r="P7" s="1235"/>
      <c r="Q7" s="1235"/>
      <c r="R7" s="1235"/>
      <c r="S7" s="1235"/>
      <c r="T7" s="1235"/>
      <c r="U7" s="1235"/>
      <c r="V7" s="1235"/>
    </row>
    <row r="8" spans="1:29" ht="15.75" x14ac:dyDescent="0.25">
      <c r="A8" s="36"/>
      <c r="B8" s="30"/>
      <c r="C8" s="30"/>
      <c r="D8" s="30"/>
      <c r="E8" s="30"/>
      <c r="F8" s="30"/>
      <c r="G8" s="30"/>
      <c r="H8" s="30"/>
      <c r="I8" s="30"/>
      <c r="J8" s="30"/>
      <c r="K8" s="30"/>
      <c r="L8" s="30"/>
      <c r="M8" s="30"/>
      <c r="N8" s="30"/>
      <c r="O8" s="30"/>
      <c r="P8" s="24"/>
      <c r="U8" s="24" t="s">
        <v>220</v>
      </c>
      <c r="V8" s="24"/>
    </row>
    <row r="9" spans="1:29" x14ac:dyDescent="0.2">
      <c r="A9" s="1236" t="s">
        <v>456</v>
      </c>
      <c r="B9" s="1236"/>
      <c r="C9" s="1236"/>
      <c r="S9" s="1174" t="s">
        <v>801</v>
      </c>
      <c r="T9" s="1174"/>
      <c r="U9" s="1174"/>
      <c r="V9" s="1174"/>
    </row>
    <row r="10" spans="1:29" ht="28.5" customHeight="1" x14ac:dyDescent="0.2">
      <c r="A10" s="1232" t="s">
        <v>25</v>
      </c>
      <c r="B10" s="1025" t="s">
        <v>216</v>
      </c>
      <c r="C10" s="1025" t="s">
        <v>227</v>
      </c>
      <c r="D10" s="1025" t="s">
        <v>217</v>
      </c>
      <c r="E10" s="1030" t="s">
        <v>880</v>
      </c>
      <c r="F10" s="1030"/>
      <c r="G10" s="1030"/>
      <c r="H10" s="1049" t="s">
        <v>877</v>
      </c>
      <c r="I10" s="1050"/>
      <c r="J10" s="1051"/>
      <c r="K10" s="1046" t="s">
        <v>572</v>
      </c>
      <c r="L10" s="1229"/>
      <c r="M10" s="1047"/>
      <c r="N10" s="1046" t="s">
        <v>169</v>
      </c>
      <c r="O10" s="1229"/>
      <c r="P10" s="1047"/>
      <c r="Q10" s="1028" t="s">
        <v>879</v>
      </c>
      <c r="R10" s="1028"/>
      <c r="S10" s="1028"/>
      <c r="T10" s="1028" t="s">
        <v>270</v>
      </c>
      <c r="U10" s="1028" t="s">
        <v>503</v>
      </c>
      <c r="V10" s="1028" t="s">
        <v>504</v>
      </c>
    </row>
    <row r="11" spans="1:29" ht="71.25" customHeight="1" x14ac:dyDescent="0.2">
      <c r="A11" s="1233"/>
      <c r="B11" s="1026"/>
      <c r="C11" s="1026"/>
      <c r="D11" s="1026"/>
      <c r="E11" s="192" t="s">
        <v>218</v>
      </c>
      <c r="F11" s="192" t="s">
        <v>219</v>
      </c>
      <c r="G11" s="192" t="s">
        <v>18</v>
      </c>
      <c r="H11" s="192" t="s">
        <v>218</v>
      </c>
      <c r="I11" s="192" t="s">
        <v>219</v>
      </c>
      <c r="J11" s="192" t="s">
        <v>18</v>
      </c>
      <c r="K11" s="192" t="s">
        <v>218</v>
      </c>
      <c r="L11" s="192" t="s">
        <v>219</v>
      </c>
      <c r="M11" s="192" t="s">
        <v>18</v>
      </c>
      <c r="N11" s="192" t="s">
        <v>218</v>
      </c>
      <c r="O11" s="192" t="s">
        <v>219</v>
      </c>
      <c r="P11" s="192" t="s">
        <v>18</v>
      </c>
      <c r="Q11" s="580" t="s">
        <v>712</v>
      </c>
      <c r="R11" s="580" t="s">
        <v>711</v>
      </c>
      <c r="S11" s="192" t="s">
        <v>236</v>
      </c>
      <c r="T11" s="1028"/>
      <c r="U11" s="1028"/>
      <c r="V11" s="1028"/>
    </row>
    <row r="12" spans="1:29" x14ac:dyDescent="0.2">
      <c r="A12" s="90">
        <v>1</v>
      </c>
      <c r="B12" s="68">
        <v>2</v>
      </c>
      <c r="C12" s="212">
        <v>3</v>
      </c>
      <c r="D12" s="212">
        <v>4</v>
      </c>
      <c r="E12" s="212">
        <v>5</v>
      </c>
      <c r="F12" s="212">
        <v>6</v>
      </c>
      <c r="G12" s="212">
        <v>7</v>
      </c>
      <c r="H12" s="212">
        <v>8</v>
      </c>
      <c r="I12" s="212">
        <v>9</v>
      </c>
      <c r="J12" s="212">
        <v>10</v>
      </c>
      <c r="K12" s="212">
        <v>11</v>
      </c>
      <c r="L12" s="212">
        <v>12</v>
      </c>
      <c r="M12" s="212">
        <v>13</v>
      </c>
      <c r="N12" s="212">
        <v>14</v>
      </c>
      <c r="O12" s="212">
        <v>15</v>
      </c>
      <c r="P12" s="212">
        <v>16</v>
      </c>
      <c r="Q12" s="212">
        <v>17</v>
      </c>
      <c r="R12" s="212">
        <v>18</v>
      </c>
      <c r="S12" s="212">
        <v>19</v>
      </c>
      <c r="T12" s="212">
        <v>20</v>
      </c>
      <c r="U12" s="288">
        <v>21</v>
      </c>
      <c r="V12" s="288">
        <v>22</v>
      </c>
      <c r="W12" s="766"/>
      <c r="X12" s="766"/>
      <c r="Y12" s="766"/>
      <c r="Z12" s="766"/>
      <c r="AA12" s="766"/>
      <c r="AB12" s="766"/>
      <c r="AC12" s="766"/>
    </row>
    <row r="13" spans="1:29" ht="35.1" customHeight="1" x14ac:dyDescent="0.2">
      <c r="A13" s="188">
        <v>1</v>
      </c>
      <c r="B13" s="188" t="s">
        <v>386</v>
      </c>
      <c r="C13" s="199">
        <v>1063</v>
      </c>
      <c r="D13" s="332">
        <v>839</v>
      </c>
      <c r="E13" s="344">
        <v>95.67</v>
      </c>
      <c r="F13" s="344">
        <v>116.93</v>
      </c>
      <c r="G13" s="344">
        <f>E13+F13</f>
        <v>212.60000000000002</v>
      </c>
      <c r="H13" s="344">
        <v>16.838999999999999</v>
      </c>
      <c r="I13" s="344">
        <v>11.89</v>
      </c>
      <c r="J13" s="344">
        <f>H13+I13</f>
        <v>28.728999999999999</v>
      </c>
      <c r="K13" s="344">
        <v>78.831000000000003</v>
      </c>
      <c r="L13" s="344">
        <v>97.27</v>
      </c>
      <c r="M13" s="344">
        <f>K13+L13</f>
        <v>176.101</v>
      </c>
      <c r="N13" s="344">
        <v>75.573000000000008</v>
      </c>
      <c r="O13" s="344">
        <v>109.14699999999999</v>
      </c>
      <c r="P13" s="344">
        <f>N13+O13</f>
        <v>184.72</v>
      </c>
      <c r="Q13" s="344">
        <f>H13+K13-N13</f>
        <v>20.096999999999994</v>
      </c>
      <c r="R13" s="344">
        <f>I13+L13-O13</f>
        <v>1.300000000000523E-2</v>
      </c>
      <c r="S13" s="344">
        <f>J13+M13-P13</f>
        <v>20.109999999999985</v>
      </c>
      <c r="T13" s="199" t="s">
        <v>637</v>
      </c>
      <c r="U13" s="199">
        <f>D13</f>
        <v>839</v>
      </c>
      <c r="V13" s="199">
        <f>U13</f>
        <v>839</v>
      </c>
      <c r="W13" s="767">
        <v>16.838999999999984</v>
      </c>
      <c r="X13" s="767">
        <v>20.581000000000017</v>
      </c>
      <c r="Y13" s="768">
        <f>Q13-W13</f>
        <v>3.2580000000000098</v>
      </c>
      <c r="Z13" s="768">
        <f>R13-X13</f>
        <v>-20.568000000000012</v>
      </c>
      <c r="AA13" s="766"/>
      <c r="AB13" s="766"/>
      <c r="AC13" s="766"/>
    </row>
    <row r="14" spans="1:29" ht="35.1" customHeight="1" x14ac:dyDescent="0.2">
      <c r="A14" s="188">
        <v>2</v>
      </c>
      <c r="B14" s="188" t="s">
        <v>387</v>
      </c>
      <c r="C14" s="199">
        <v>450</v>
      </c>
      <c r="D14" s="332">
        <v>371</v>
      </c>
      <c r="E14" s="344">
        <v>40.500000000000007</v>
      </c>
      <c r="F14" s="344">
        <v>49.5</v>
      </c>
      <c r="G14" s="344">
        <f t="shared" ref="G14:G25" si="0">E14+F14</f>
        <v>90</v>
      </c>
      <c r="H14" s="344">
        <v>6.3899999999999935</v>
      </c>
      <c r="I14" s="344">
        <v>4.547278779999993</v>
      </c>
      <c r="J14" s="344">
        <f t="shared" ref="J14:J25" si="1">H14+I14</f>
        <v>10.937278779999986</v>
      </c>
      <c r="K14" s="344">
        <v>34.110000000000014</v>
      </c>
      <c r="L14" s="344">
        <v>43.702721219999994</v>
      </c>
      <c r="M14" s="344">
        <f t="shared" ref="M14:M25" si="2">K14+L14</f>
        <v>77.812721220000014</v>
      </c>
      <c r="N14" s="344">
        <v>33.408000000000001</v>
      </c>
      <c r="O14" s="344">
        <v>48.25200000000001</v>
      </c>
      <c r="P14" s="344">
        <f t="shared" ref="P14:P25" si="3">N14+O14</f>
        <v>81.660000000000011</v>
      </c>
      <c r="Q14" s="344">
        <f t="shared" ref="Q14:Q25" si="4">H14+K14-N14</f>
        <v>7.0920000000000059</v>
      </c>
      <c r="R14" s="344">
        <f t="shared" ref="R14:R25" si="5">I14+L14-O14</f>
        <v>-2.0000000000237605E-3</v>
      </c>
      <c r="S14" s="344">
        <f t="shared" ref="S14:S25" si="6">J14+M14-P14</f>
        <v>7.0899999999999892</v>
      </c>
      <c r="T14" s="199" t="s">
        <v>637</v>
      </c>
      <c r="U14" s="199">
        <f t="shared" ref="U14:U25" si="7">D14</f>
        <v>371</v>
      </c>
      <c r="V14" s="199">
        <f t="shared" ref="V14:V25" si="8">U14</f>
        <v>371</v>
      </c>
      <c r="W14" s="767">
        <v>6.3899999999999935</v>
      </c>
      <c r="X14" s="767">
        <v>7.8099999999999881</v>
      </c>
      <c r="Y14" s="768">
        <f t="shared" ref="Y14:Y25" si="9">Q14-W14</f>
        <v>0.70200000000001239</v>
      </c>
      <c r="Z14" s="768">
        <f t="shared" ref="Z14:Z25" si="10">R14-X14</f>
        <v>-7.8120000000000118</v>
      </c>
      <c r="AA14" s="766"/>
      <c r="AB14" s="766"/>
      <c r="AC14" s="766"/>
    </row>
    <row r="15" spans="1:29" ht="35.1" customHeight="1" x14ac:dyDescent="0.2">
      <c r="A15" s="188">
        <v>3</v>
      </c>
      <c r="B15" s="188" t="s">
        <v>388</v>
      </c>
      <c r="C15" s="199">
        <v>758</v>
      </c>
      <c r="D15" s="332">
        <v>669</v>
      </c>
      <c r="E15" s="344">
        <v>68.220000000000013</v>
      </c>
      <c r="F15" s="344">
        <v>83.38000000000001</v>
      </c>
      <c r="G15" s="344">
        <f t="shared" si="0"/>
        <v>151.60000000000002</v>
      </c>
      <c r="H15" s="344">
        <v>6.0749999999999886</v>
      </c>
      <c r="I15" s="344">
        <v>4.3231171499999901</v>
      </c>
      <c r="J15" s="344">
        <f t="shared" si="1"/>
        <v>10.39811714999998</v>
      </c>
      <c r="K15" s="344">
        <v>62.145000000000024</v>
      </c>
      <c r="L15" s="344">
        <v>82.616882849999996</v>
      </c>
      <c r="M15" s="344">
        <f t="shared" si="2"/>
        <v>144.76188285000001</v>
      </c>
      <c r="N15" s="344">
        <v>60.183000000000007</v>
      </c>
      <c r="O15" s="344">
        <v>86.937000000000012</v>
      </c>
      <c r="P15" s="344">
        <f t="shared" si="3"/>
        <v>147.12</v>
      </c>
      <c r="Q15" s="344">
        <f t="shared" si="4"/>
        <v>8.0370000000000061</v>
      </c>
      <c r="R15" s="344">
        <f t="shared" si="5"/>
        <v>2.999999999971692E-3</v>
      </c>
      <c r="S15" s="344">
        <f t="shared" si="6"/>
        <v>8.039999999999992</v>
      </c>
      <c r="T15" s="199" t="s">
        <v>637</v>
      </c>
      <c r="U15" s="199">
        <f t="shared" si="7"/>
        <v>669</v>
      </c>
      <c r="V15" s="199">
        <f t="shared" si="8"/>
        <v>669</v>
      </c>
      <c r="W15" s="767">
        <v>6.0749999999999886</v>
      </c>
      <c r="X15" s="767">
        <v>7.4249999999999829</v>
      </c>
      <c r="Y15" s="768">
        <f t="shared" si="9"/>
        <v>1.9620000000000175</v>
      </c>
      <c r="Z15" s="768">
        <f t="shared" si="10"/>
        <v>-7.4220000000000113</v>
      </c>
      <c r="AA15" s="766"/>
      <c r="AB15" s="766"/>
      <c r="AC15" s="766"/>
    </row>
    <row r="16" spans="1:29" ht="35.1" customHeight="1" x14ac:dyDescent="0.2">
      <c r="A16" s="188">
        <v>4</v>
      </c>
      <c r="B16" s="188" t="s">
        <v>389</v>
      </c>
      <c r="C16" s="199">
        <v>426</v>
      </c>
      <c r="D16" s="332">
        <v>369</v>
      </c>
      <c r="E16" s="344">
        <v>38.340000000000003</v>
      </c>
      <c r="F16" s="344">
        <v>46.86</v>
      </c>
      <c r="G16" s="344">
        <f t="shared" si="0"/>
        <v>85.2</v>
      </c>
      <c r="H16" s="344">
        <v>4.5</v>
      </c>
      <c r="I16" s="344">
        <v>3.2023090000000041</v>
      </c>
      <c r="J16" s="344">
        <f t="shared" si="1"/>
        <v>7.7023090000000041</v>
      </c>
      <c r="K16" s="344">
        <v>33.840000000000003</v>
      </c>
      <c r="L16" s="344">
        <v>44.797691</v>
      </c>
      <c r="M16" s="344">
        <f t="shared" si="2"/>
        <v>78.637691000000004</v>
      </c>
      <c r="N16" s="344">
        <v>33.237000000000002</v>
      </c>
      <c r="O16" s="344">
        <v>48.003</v>
      </c>
      <c r="P16" s="344">
        <f t="shared" si="3"/>
        <v>81.240000000000009</v>
      </c>
      <c r="Q16" s="344">
        <f t="shared" si="4"/>
        <v>5.1030000000000015</v>
      </c>
      <c r="R16" s="344">
        <f t="shared" si="5"/>
        <v>-2.9999999999930083E-3</v>
      </c>
      <c r="S16" s="344">
        <f t="shared" si="6"/>
        <v>5.0999999999999943</v>
      </c>
      <c r="T16" s="199" t="s">
        <v>637</v>
      </c>
      <c r="U16" s="199">
        <f t="shared" si="7"/>
        <v>369</v>
      </c>
      <c r="V16" s="199">
        <f t="shared" si="8"/>
        <v>369</v>
      </c>
      <c r="W16" s="767">
        <v>4.5</v>
      </c>
      <c r="X16" s="767">
        <v>5.5000000000000071</v>
      </c>
      <c r="Y16" s="768">
        <f t="shared" si="9"/>
        <v>0.60300000000000153</v>
      </c>
      <c r="Z16" s="768">
        <f t="shared" si="10"/>
        <v>-5.5030000000000001</v>
      </c>
      <c r="AA16" s="766"/>
      <c r="AB16" s="766"/>
      <c r="AC16" s="766"/>
    </row>
    <row r="17" spans="1:29" ht="35.1" customHeight="1" x14ac:dyDescent="0.2">
      <c r="A17" s="188">
        <v>5</v>
      </c>
      <c r="B17" s="346" t="s">
        <v>390</v>
      </c>
      <c r="C17" s="199">
        <v>1150</v>
      </c>
      <c r="D17" s="332">
        <v>931</v>
      </c>
      <c r="E17" s="344">
        <v>103.50000000000001</v>
      </c>
      <c r="F17" s="344">
        <v>126.5</v>
      </c>
      <c r="G17" s="344">
        <f t="shared" si="0"/>
        <v>230</v>
      </c>
      <c r="H17" s="344">
        <v>19.313999999999979</v>
      </c>
      <c r="I17" s="344">
        <v>13.907336867999989</v>
      </c>
      <c r="J17" s="344">
        <f t="shared" si="1"/>
        <v>33.221336867999966</v>
      </c>
      <c r="K17" s="344">
        <v>84.186000000000035</v>
      </c>
      <c r="L17" s="344">
        <v>107.02266313199999</v>
      </c>
      <c r="M17" s="344">
        <f t="shared" si="2"/>
        <v>191.20866313200003</v>
      </c>
      <c r="N17" s="344">
        <v>83.646000000000001</v>
      </c>
      <c r="O17" s="344">
        <v>120.85400000000001</v>
      </c>
      <c r="P17" s="344">
        <f t="shared" si="3"/>
        <v>204.5</v>
      </c>
      <c r="Q17" s="344">
        <f t="shared" si="4"/>
        <v>19.854000000000013</v>
      </c>
      <c r="R17" s="344">
        <f t="shared" si="5"/>
        <v>7.5999999999964984E-2</v>
      </c>
      <c r="S17" s="344">
        <f t="shared" si="6"/>
        <v>19.930000000000007</v>
      </c>
      <c r="T17" s="199" t="s">
        <v>637</v>
      </c>
      <c r="U17" s="199">
        <f t="shared" si="7"/>
        <v>931</v>
      </c>
      <c r="V17" s="199">
        <f t="shared" si="8"/>
        <v>931</v>
      </c>
      <c r="W17" s="767">
        <v>19.313999999999979</v>
      </c>
      <c r="X17" s="767">
        <v>23.885999999999981</v>
      </c>
      <c r="Y17" s="768">
        <f t="shared" si="9"/>
        <v>0.54000000000003467</v>
      </c>
      <c r="Z17" s="768">
        <f t="shared" si="10"/>
        <v>-23.810000000000016</v>
      </c>
      <c r="AA17" s="766"/>
      <c r="AB17" s="766"/>
      <c r="AC17" s="766"/>
    </row>
    <row r="18" spans="1:29" ht="35.1" customHeight="1" x14ac:dyDescent="0.2">
      <c r="A18" s="188">
        <v>6</v>
      </c>
      <c r="B18" s="188" t="s">
        <v>391</v>
      </c>
      <c r="C18" s="199">
        <v>923</v>
      </c>
      <c r="D18" s="332">
        <v>825</v>
      </c>
      <c r="E18" s="344">
        <v>83.070000000000007</v>
      </c>
      <c r="F18" s="344">
        <v>101.53</v>
      </c>
      <c r="G18" s="344">
        <f t="shared" si="0"/>
        <v>184.60000000000002</v>
      </c>
      <c r="H18" s="344">
        <v>11.10599999999998</v>
      </c>
      <c r="I18" s="344">
        <v>8.3690890119999963</v>
      </c>
      <c r="J18" s="344">
        <f t="shared" si="1"/>
        <v>19.475089011999977</v>
      </c>
      <c r="K18" s="344">
        <v>71.964000000000027</v>
      </c>
      <c r="L18" s="344">
        <v>97.370910987999991</v>
      </c>
      <c r="M18" s="344">
        <f t="shared" si="2"/>
        <v>169.33491098800002</v>
      </c>
      <c r="N18" s="344">
        <v>73.01700000000001</v>
      </c>
      <c r="O18" s="344">
        <v>105.74300000000001</v>
      </c>
      <c r="P18" s="344">
        <f t="shared" si="3"/>
        <v>178.76000000000002</v>
      </c>
      <c r="Q18" s="344">
        <f t="shared" si="4"/>
        <v>10.052999999999997</v>
      </c>
      <c r="R18" s="344">
        <f t="shared" si="5"/>
        <v>-3.0000000000285354E-3</v>
      </c>
      <c r="S18" s="344">
        <f t="shared" si="6"/>
        <v>10.049999999999983</v>
      </c>
      <c r="T18" s="199" t="s">
        <v>637</v>
      </c>
      <c r="U18" s="199">
        <f t="shared" si="7"/>
        <v>825</v>
      </c>
      <c r="V18" s="199">
        <f t="shared" si="8"/>
        <v>825</v>
      </c>
      <c r="W18" s="767">
        <v>11.10599999999998</v>
      </c>
      <c r="X18" s="767">
        <v>14.373999999999995</v>
      </c>
      <c r="Y18" s="768">
        <f t="shared" si="9"/>
        <v>-1.0529999999999831</v>
      </c>
      <c r="Z18" s="768">
        <f t="shared" si="10"/>
        <v>-14.377000000000024</v>
      </c>
      <c r="AA18" s="766"/>
      <c r="AB18" s="766"/>
      <c r="AC18" s="766"/>
    </row>
    <row r="19" spans="1:29" ht="35.1" customHeight="1" x14ac:dyDescent="0.2">
      <c r="A19" s="188">
        <v>7</v>
      </c>
      <c r="B19" s="346" t="s">
        <v>392</v>
      </c>
      <c r="C19" s="199">
        <v>1048</v>
      </c>
      <c r="D19" s="332">
        <v>829</v>
      </c>
      <c r="E19" s="344">
        <v>94.320000000000022</v>
      </c>
      <c r="F19" s="344">
        <v>115.28</v>
      </c>
      <c r="G19" s="344">
        <f t="shared" si="0"/>
        <v>209.60000000000002</v>
      </c>
      <c r="H19" s="344">
        <v>18.350999999999985</v>
      </c>
      <c r="I19" s="344">
        <v>13.059016101999983</v>
      </c>
      <c r="J19" s="344">
        <f t="shared" si="1"/>
        <v>31.410016101999968</v>
      </c>
      <c r="K19" s="344">
        <v>75.969000000000037</v>
      </c>
      <c r="L19" s="344">
        <v>94.70098389799999</v>
      </c>
      <c r="M19" s="344">
        <f t="shared" si="2"/>
        <v>170.66998389800003</v>
      </c>
      <c r="N19" s="344">
        <v>74.600999999999999</v>
      </c>
      <c r="O19" s="344">
        <v>107.75900000000001</v>
      </c>
      <c r="P19" s="344">
        <f t="shared" si="3"/>
        <v>182.36</v>
      </c>
      <c r="Q19" s="344">
        <f t="shared" si="4"/>
        <v>19.719000000000023</v>
      </c>
      <c r="R19" s="344">
        <f t="shared" si="5"/>
        <v>9.9999999996214228E-4</v>
      </c>
      <c r="S19" s="344">
        <f t="shared" si="6"/>
        <v>19.71999999999997</v>
      </c>
      <c r="T19" s="199" t="s">
        <v>637</v>
      </c>
      <c r="U19" s="199">
        <f t="shared" si="7"/>
        <v>829</v>
      </c>
      <c r="V19" s="199">
        <f t="shared" si="8"/>
        <v>829</v>
      </c>
      <c r="W19" s="767">
        <v>18.350999999999985</v>
      </c>
      <c r="X19" s="767">
        <v>22.428999999999974</v>
      </c>
      <c r="Y19" s="768">
        <f t="shared" si="9"/>
        <v>1.3680000000000376</v>
      </c>
      <c r="Z19" s="768">
        <f t="shared" si="10"/>
        <v>-22.428000000000011</v>
      </c>
      <c r="AA19" s="766"/>
      <c r="AB19" s="766"/>
      <c r="AC19" s="766"/>
    </row>
    <row r="20" spans="1:29" ht="35.1" customHeight="1" x14ac:dyDescent="0.2">
      <c r="A20" s="188">
        <v>8</v>
      </c>
      <c r="B20" s="188" t="s">
        <v>393</v>
      </c>
      <c r="C20" s="199">
        <v>1232</v>
      </c>
      <c r="D20" s="332">
        <v>1024</v>
      </c>
      <c r="E20" s="344">
        <v>110.88000000000001</v>
      </c>
      <c r="F20" s="344">
        <v>135.52000000000001</v>
      </c>
      <c r="G20" s="344">
        <f t="shared" si="0"/>
        <v>246.40000000000003</v>
      </c>
      <c r="H20" s="344">
        <v>15.353999999999985</v>
      </c>
      <c r="I20" s="344">
        <v>10.926278307999993</v>
      </c>
      <c r="J20" s="344">
        <f t="shared" si="1"/>
        <v>26.280278307999978</v>
      </c>
      <c r="K20" s="344">
        <v>95.526000000000025</v>
      </c>
      <c r="L20" s="344">
        <v>122.173721692</v>
      </c>
      <c r="M20" s="344">
        <f t="shared" si="2"/>
        <v>217.69972169200003</v>
      </c>
      <c r="N20" s="344">
        <v>92.14200000000001</v>
      </c>
      <c r="O20" s="344">
        <v>133.09800000000001</v>
      </c>
      <c r="P20" s="344">
        <f t="shared" si="3"/>
        <v>225.24</v>
      </c>
      <c r="Q20" s="344">
        <f>H20+K20-N20</f>
        <v>18.738</v>
      </c>
      <c r="R20" s="344">
        <f t="shared" si="5"/>
        <v>1.999999999981128E-3</v>
      </c>
      <c r="S20" s="344">
        <f t="shared" si="6"/>
        <v>18.740000000000009</v>
      </c>
      <c r="T20" s="199" t="s">
        <v>637</v>
      </c>
      <c r="U20" s="199">
        <f t="shared" si="7"/>
        <v>1024</v>
      </c>
      <c r="V20" s="199">
        <f t="shared" si="8"/>
        <v>1024</v>
      </c>
      <c r="W20" s="767">
        <v>15.353999999999985</v>
      </c>
      <c r="X20" s="767">
        <v>18.765999999999991</v>
      </c>
      <c r="Y20" s="768">
        <f t="shared" si="9"/>
        <v>3.3840000000000146</v>
      </c>
      <c r="Z20" s="768">
        <f t="shared" si="10"/>
        <v>-18.76400000000001</v>
      </c>
      <c r="AA20" s="766"/>
      <c r="AB20" s="766"/>
      <c r="AC20" s="766"/>
    </row>
    <row r="21" spans="1:29" ht="35.1" customHeight="1" x14ac:dyDescent="0.2">
      <c r="A21" s="188">
        <v>9</v>
      </c>
      <c r="B21" s="188" t="s">
        <v>394</v>
      </c>
      <c r="C21" s="199">
        <v>852</v>
      </c>
      <c r="D21" s="332">
        <v>687</v>
      </c>
      <c r="E21" s="344">
        <v>76.680000000000007</v>
      </c>
      <c r="F21" s="344">
        <v>93.72</v>
      </c>
      <c r="G21" s="344">
        <f t="shared" si="0"/>
        <v>170.4</v>
      </c>
      <c r="H21" s="344">
        <v>13.536000000000001</v>
      </c>
      <c r="I21" s="344">
        <v>9.8421511519999978</v>
      </c>
      <c r="J21" s="344">
        <f t="shared" si="1"/>
        <v>23.378151152000001</v>
      </c>
      <c r="K21" s="344">
        <v>63.144000000000005</v>
      </c>
      <c r="L21" s="344">
        <v>79.487848847999999</v>
      </c>
      <c r="M21" s="344">
        <f t="shared" si="2"/>
        <v>142.631848848</v>
      </c>
      <c r="N21" s="344">
        <v>61.847999999999999</v>
      </c>
      <c r="O21" s="344">
        <v>89.332000000000008</v>
      </c>
      <c r="P21" s="344">
        <f t="shared" si="3"/>
        <v>151.18</v>
      </c>
      <c r="Q21" s="344">
        <f t="shared" si="4"/>
        <v>14.832000000000008</v>
      </c>
      <c r="R21" s="344">
        <f t="shared" si="5"/>
        <v>-2.0000000000095497E-3</v>
      </c>
      <c r="S21" s="344">
        <f t="shared" si="6"/>
        <v>14.829999999999984</v>
      </c>
      <c r="T21" s="199" t="s">
        <v>637</v>
      </c>
      <c r="U21" s="199">
        <f t="shared" si="7"/>
        <v>687</v>
      </c>
      <c r="V21" s="199">
        <f t="shared" si="8"/>
        <v>687</v>
      </c>
      <c r="W21" s="767">
        <v>13.536000000000001</v>
      </c>
      <c r="X21" s="767">
        <v>16.903999999999996</v>
      </c>
      <c r="Y21" s="768">
        <f t="shared" si="9"/>
        <v>1.2960000000000065</v>
      </c>
      <c r="Z21" s="768">
        <f t="shared" si="10"/>
        <v>-16.906000000000006</v>
      </c>
      <c r="AA21" s="766"/>
      <c r="AB21" s="766"/>
      <c r="AC21" s="766"/>
    </row>
    <row r="22" spans="1:29" ht="35.1" customHeight="1" x14ac:dyDescent="0.2">
      <c r="A22" s="188">
        <v>10</v>
      </c>
      <c r="B22" s="417" t="s">
        <v>395</v>
      </c>
      <c r="C22" s="332">
        <v>488</v>
      </c>
      <c r="D22" s="332">
        <v>426</v>
      </c>
      <c r="E22" s="418">
        <v>43.92</v>
      </c>
      <c r="F22" s="344">
        <v>53.680000000000007</v>
      </c>
      <c r="G22" s="418">
        <f t="shared" si="0"/>
        <v>97.600000000000009</v>
      </c>
      <c r="H22" s="418">
        <v>4.9859999999999971</v>
      </c>
      <c r="I22" s="344">
        <v>3.5481583720000005</v>
      </c>
      <c r="J22" s="418">
        <f t="shared" si="1"/>
        <v>8.5341583719999967</v>
      </c>
      <c r="K22" s="418">
        <v>38.934000000000005</v>
      </c>
      <c r="L22" s="418">
        <v>51.831841628000006</v>
      </c>
      <c r="M22" s="418">
        <f t="shared" si="2"/>
        <v>90.765841628000004</v>
      </c>
      <c r="N22" s="418">
        <v>38.340000000000003</v>
      </c>
      <c r="O22" s="418">
        <v>55.38</v>
      </c>
      <c r="P22" s="418">
        <f t="shared" si="3"/>
        <v>93.72</v>
      </c>
      <c r="Q22" s="418">
        <f t="shared" si="4"/>
        <v>5.5799999999999983</v>
      </c>
      <c r="R22" s="418">
        <f t="shared" si="5"/>
        <v>0</v>
      </c>
      <c r="S22" s="418">
        <f t="shared" si="6"/>
        <v>5.5799999999999983</v>
      </c>
      <c r="T22" s="199" t="s">
        <v>637</v>
      </c>
      <c r="U22" s="332">
        <f t="shared" si="7"/>
        <v>426</v>
      </c>
      <c r="V22" s="332">
        <f t="shared" si="8"/>
        <v>426</v>
      </c>
      <c r="W22" s="767">
        <v>4.9859999999999971</v>
      </c>
      <c r="X22" s="767">
        <v>6.0940000000000012</v>
      </c>
      <c r="Y22" s="768">
        <f t="shared" si="9"/>
        <v>0.59400000000000119</v>
      </c>
      <c r="Z22" s="768">
        <f t="shared" si="10"/>
        <v>-6.0940000000000012</v>
      </c>
      <c r="AA22" s="766"/>
      <c r="AB22" s="766"/>
      <c r="AC22" s="766"/>
    </row>
    <row r="23" spans="1:29" ht="35.1" customHeight="1" x14ac:dyDescent="0.2">
      <c r="A23" s="188">
        <v>11</v>
      </c>
      <c r="B23" s="188" t="s">
        <v>396</v>
      </c>
      <c r="C23" s="199">
        <v>1197</v>
      </c>
      <c r="D23" s="332">
        <v>985</v>
      </c>
      <c r="E23" s="344">
        <v>107.73000000000002</v>
      </c>
      <c r="F23" s="418">
        <v>131.67000000000002</v>
      </c>
      <c r="G23" s="344">
        <f t="shared" si="0"/>
        <v>239.40000000000003</v>
      </c>
      <c r="H23" s="344">
        <v>17.13600000000001</v>
      </c>
      <c r="I23" s="418">
        <v>12.194392671999976</v>
      </c>
      <c r="J23" s="344">
        <f t="shared" si="1"/>
        <v>29.330392671999988</v>
      </c>
      <c r="K23" s="344">
        <v>90.594000000000008</v>
      </c>
      <c r="L23" s="344">
        <v>115.85560732799998</v>
      </c>
      <c r="M23" s="344">
        <f t="shared" si="2"/>
        <v>206.44960732799998</v>
      </c>
      <c r="N23" s="344">
        <v>88.649999999999991</v>
      </c>
      <c r="O23" s="344">
        <v>128.05000000000001</v>
      </c>
      <c r="P23" s="344">
        <f t="shared" si="3"/>
        <v>216.7</v>
      </c>
      <c r="Q23" s="344">
        <f t="shared" si="4"/>
        <v>19.080000000000027</v>
      </c>
      <c r="R23" s="344">
        <f t="shared" si="5"/>
        <v>0</v>
      </c>
      <c r="S23" s="344">
        <f t="shared" si="6"/>
        <v>19.079999999999984</v>
      </c>
      <c r="T23" s="199" t="s">
        <v>637</v>
      </c>
      <c r="U23" s="199">
        <f t="shared" si="7"/>
        <v>985</v>
      </c>
      <c r="V23" s="199">
        <f t="shared" si="8"/>
        <v>985</v>
      </c>
      <c r="W23" s="767">
        <v>17.13600000000001</v>
      </c>
      <c r="X23" s="767">
        <v>20.94399999999996</v>
      </c>
      <c r="Y23" s="768">
        <f t="shared" si="9"/>
        <v>1.9440000000000168</v>
      </c>
      <c r="Z23" s="768">
        <f t="shared" si="10"/>
        <v>-20.94399999999996</v>
      </c>
      <c r="AA23" s="766"/>
      <c r="AB23" s="766"/>
      <c r="AC23" s="766"/>
    </row>
    <row r="24" spans="1:29" ht="35.1" customHeight="1" x14ac:dyDescent="0.2">
      <c r="A24" s="188">
        <v>12</v>
      </c>
      <c r="B24" s="188" t="s">
        <v>397</v>
      </c>
      <c r="C24" s="199">
        <v>1162</v>
      </c>
      <c r="D24" s="332">
        <v>1001</v>
      </c>
      <c r="E24" s="344">
        <v>104.58</v>
      </c>
      <c r="F24" s="344">
        <v>127.82000000000002</v>
      </c>
      <c r="G24" s="344">
        <f t="shared" si="0"/>
        <v>232.40000000000003</v>
      </c>
      <c r="H24" s="344">
        <v>17.459999999999994</v>
      </c>
      <c r="I24" s="344">
        <v>13.042131199999986</v>
      </c>
      <c r="J24" s="344">
        <f t="shared" si="1"/>
        <v>30.50213119999998</v>
      </c>
      <c r="K24" s="344">
        <v>87.12</v>
      </c>
      <c r="L24" s="344">
        <v>116.20786879999999</v>
      </c>
      <c r="M24" s="344">
        <f t="shared" si="2"/>
        <v>203.32786879999998</v>
      </c>
      <c r="N24" s="344">
        <v>89.163000000000011</v>
      </c>
      <c r="O24" s="344">
        <v>128.99700000000001</v>
      </c>
      <c r="P24" s="344">
        <f t="shared" si="3"/>
        <v>218.16000000000003</v>
      </c>
      <c r="Q24" s="344">
        <f t="shared" si="4"/>
        <v>15.416999999999987</v>
      </c>
      <c r="R24" s="344">
        <f t="shared" si="5"/>
        <v>0.25299999999995748</v>
      </c>
      <c r="S24" s="344">
        <f t="shared" si="6"/>
        <v>15.669999999999931</v>
      </c>
      <c r="T24" s="199" t="s">
        <v>637</v>
      </c>
      <c r="U24" s="199">
        <f t="shared" si="7"/>
        <v>1001</v>
      </c>
      <c r="V24" s="199">
        <f t="shared" si="8"/>
        <v>1001</v>
      </c>
      <c r="W24" s="767">
        <v>17.459999999999994</v>
      </c>
      <c r="X24" s="767">
        <v>22.399999999999977</v>
      </c>
      <c r="Y24" s="768">
        <f t="shared" si="9"/>
        <v>-2.0430000000000064</v>
      </c>
      <c r="Z24" s="768">
        <f t="shared" si="10"/>
        <v>-22.14700000000002</v>
      </c>
      <c r="AA24" s="766"/>
      <c r="AB24" s="766"/>
      <c r="AC24" s="766"/>
    </row>
    <row r="25" spans="1:29" ht="35.1" customHeight="1" x14ac:dyDescent="0.2">
      <c r="A25" s="188">
        <v>13</v>
      </c>
      <c r="B25" s="188" t="s">
        <v>398</v>
      </c>
      <c r="C25" s="199">
        <v>679</v>
      </c>
      <c r="D25" s="332">
        <v>506</v>
      </c>
      <c r="E25" s="344">
        <v>61.110000000000007</v>
      </c>
      <c r="F25" s="344">
        <v>74.69</v>
      </c>
      <c r="G25" s="344">
        <f t="shared" si="0"/>
        <v>135.80000000000001</v>
      </c>
      <c r="H25" s="344">
        <v>14.318999999999988</v>
      </c>
      <c r="I25" s="344">
        <v>10.189747238000002</v>
      </c>
      <c r="J25" s="344">
        <f t="shared" si="1"/>
        <v>24.508747237999991</v>
      </c>
      <c r="K25" s="344">
        <v>46.791000000000018</v>
      </c>
      <c r="L25" s="344">
        <v>55.710252762000003</v>
      </c>
      <c r="M25" s="344">
        <f t="shared" si="2"/>
        <v>102.50125276200002</v>
      </c>
      <c r="N25" s="344">
        <v>45.639000000000003</v>
      </c>
      <c r="O25" s="344">
        <v>65.90100000000001</v>
      </c>
      <c r="P25" s="344">
        <f t="shared" si="3"/>
        <v>111.54000000000002</v>
      </c>
      <c r="Q25" s="344">
        <f t="shared" si="4"/>
        <v>15.471000000000004</v>
      </c>
      <c r="R25" s="344">
        <f t="shared" si="5"/>
        <v>-1.0000000000047748E-3</v>
      </c>
      <c r="S25" s="344">
        <f t="shared" si="6"/>
        <v>15.469999999999999</v>
      </c>
      <c r="T25" s="199" t="s">
        <v>637</v>
      </c>
      <c r="U25" s="199">
        <f t="shared" si="7"/>
        <v>506</v>
      </c>
      <c r="V25" s="199">
        <f t="shared" si="8"/>
        <v>506</v>
      </c>
      <c r="W25" s="767">
        <v>14.318999999999988</v>
      </c>
      <c r="X25" s="767">
        <v>17.501000000000005</v>
      </c>
      <c r="Y25" s="768">
        <f t="shared" si="9"/>
        <v>1.1520000000000152</v>
      </c>
      <c r="Z25" s="768">
        <f t="shared" si="10"/>
        <v>-17.50200000000001</v>
      </c>
      <c r="AA25" s="766"/>
      <c r="AB25" s="766"/>
      <c r="AC25" s="766"/>
    </row>
    <row r="26" spans="1:29" s="11" customFormat="1" ht="35.1" customHeight="1" x14ac:dyDescent="0.2">
      <c r="A26" s="1168" t="s">
        <v>18</v>
      </c>
      <c r="B26" s="1159"/>
      <c r="C26" s="191">
        <f t="shared" ref="C26:S26" si="11">SUM(C13:C25)</f>
        <v>11428</v>
      </c>
      <c r="D26" s="191">
        <f t="shared" si="11"/>
        <v>9462</v>
      </c>
      <c r="E26" s="802">
        <f t="shared" si="11"/>
        <v>1028.52</v>
      </c>
      <c r="F26" s="802">
        <f t="shared" si="11"/>
        <v>1257.0800000000002</v>
      </c>
      <c r="G26" s="802">
        <f t="shared" si="11"/>
        <v>2285.6000000000004</v>
      </c>
      <c r="H26" s="802">
        <f t="shared" si="11"/>
        <v>165.3659999999999</v>
      </c>
      <c r="I26" s="802">
        <f t="shared" si="11"/>
        <v>119.04100585399991</v>
      </c>
      <c r="J26" s="802">
        <f t="shared" si="11"/>
        <v>284.40700585399981</v>
      </c>
      <c r="K26" s="802">
        <f t="shared" si="11"/>
        <v>863.15400000000034</v>
      </c>
      <c r="L26" s="802">
        <f t="shared" si="11"/>
        <v>1108.7489941459999</v>
      </c>
      <c r="M26" s="802">
        <f t="shared" si="11"/>
        <v>1971.9029941460003</v>
      </c>
      <c r="N26" s="802">
        <f t="shared" si="11"/>
        <v>849.447</v>
      </c>
      <c r="O26" s="802">
        <f t="shared" si="11"/>
        <v>1227.4530000000002</v>
      </c>
      <c r="P26" s="802">
        <f t="shared" si="11"/>
        <v>2076.9000000000005</v>
      </c>
      <c r="Q26" s="802">
        <f t="shared" si="11"/>
        <v>179.07300000000004</v>
      </c>
      <c r="R26" s="802">
        <f t="shared" si="11"/>
        <v>0.33699999999978303</v>
      </c>
      <c r="S26" s="802">
        <f t="shared" si="11"/>
        <v>179.40999999999983</v>
      </c>
      <c r="T26" s="191"/>
      <c r="U26" s="191">
        <f>SUM(U13:U25)</f>
        <v>9462</v>
      </c>
      <c r="V26" s="191">
        <f>SUM(V13:V25)</f>
        <v>9462</v>
      </c>
      <c r="W26" s="769">
        <f>SUM(W13:W25)</f>
        <v>165.3659999999999</v>
      </c>
      <c r="X26" s="769">
        <f>SUM(X13:X25)</f>
        <v>204.61399999999986</v>
      </c>
      <c r="Y26" s="768">
        <f t="shared" ref="Y26" si="12">Q26-W26</f>
        <v>13.707000000000136</v>
      </c>
      <c r="Z26" s="768">
        <f t="shared" ref="Z26" si="13">R26-X26</f>
        <v>-204.27700000000007</v>
      </c>
      <c r="AA26" s="770"/>
      <c r="AB26" s="770"/>
      <c r="AC26" s="770"/>
    </row>
    <row r="27" spans="1:29" ht="20.25" customHeight="1" x14ac:dyDescent="0.2">
      <c r="E27" s="734"/>
      <c r="F27" s="734"/>
      <c r="G27" s="734"/>
      <c r="H27" s="734"/>
      <c r="I27" s="734"/>
      <c r="J27" s="734"/>
      <c r="K27" s="734"/>
      <c r="L27" s="734"/>
      <c r="M27" s="734"/>
      <c r="N27" s="734"/>
      <c r="O27" s="734"/>
      <c r="P27" s="734"/>
      <c r="Q27" s="734"/>
      <c r="R27" s="734"/>
      <c r="S27" s="734"/>
    </row>
    <row r="29" spans="1:29" x14ac:dyDescent="0.2">
      <c r="A29" s="20"/>
    </row>
    <row r="30" spans="1:29" x14ac:dyDescent="0.2">
      <c r="A30" s="11"/>
    </row>
    <row r="31" spans="1:29" ht="15.75" x14ac:dyDescent="0.25">
      <c r="A31" s="11"/>
      <c r="B31" s="10"/>
      <c r="C31" s="10"/>
      <c r="D31" s="10"/>
      <c r="E31" s="10"/>
      <c r="F31" s="10"/>
      <c r="G31" s="10"/>
      <c r="H31" s="10"/>
      <c r="I31" s="10"/>
      <c r="J31" s="10"/>
      <c r="K31" s="10"/>
      <c r="L31" s="10"/>
      <c r="M31" s="10"/>
      <c r="N31" s="48"/>
      <c r="O31" s="48"/>
      <c r="P31" s="48"/>
      <c r="Q31" s="48"/>
      <c r="R31" s="48"/>
      <c r="S31" s="48"/>
      <c r="T31" s="48"/>
      <c r="U31" s="1228" t="s">
        <v>12</v>
      </c>
      <c r="V31" s="1228"/>
    </row>
    <row r="32" spans="1:29" ht="15.75" x14ac:dyDescent="0.2">
      <c r="A32" s="1228" t="s">
        <v>13</v>
      </c>
      <c r="B32" s="1228"/>
      <c r="C32" s="1228"/>
      <c r="D32" s="1228"/>
      <c r="E32" s="1228"/>
      <c r="F32" s="1228"/>
      <c r="G32" s="1228"/>
      <c r="H32" s="1228"/>
      <c r="I32" s="1228"/>
      <c r="J32" s="1228"/>
      <c r="K32" s="1228"/>
      <c r="L32" s="1228"/>
      <c r="M32" s="1228"/>
      <c r="N32" s="1228"/>
      <c r="O32" s="1228"/>
      <c r="P32" s="1228"/>
      <c r="Q32" s="1228"/>
      <c r="R32" s="1228"/>
      <c r="S32" s="1228"/>
      <c r="T32" s="1228"/>
      <c r="U32" s="1228"/>
      <c r="V32" s="1228"/>
    </row>
    <row r="33" spans="1:22" ht="15.75" x14ac:dyDescent="0.2">
      <c r="A33" s="1228" t="s">
        <v>19</v>
      </c>
      <c r="B33" s="1228"/>
      <c r="C33" s="1228"/>
      <c r="D33" s="1228"/>
      <c r="E33" s="1228"/>
      <c r="F33" s="1228"/>
      <c r="G33" s="1228"/>
      <c r="H33" s="1228"/>
      <c r="I33" s="1228"/>
      <c r="J33" s="1228"/>
      <c r="K33" s="1228"/>
      <c r="L33" s="1228"/>
      <c r="M33" s="1228"/>
      <c r="N33" s="1228"/>
      <c r="O33" s="1228"/>
      <c r="P33" s="1228"/>
      <c r="Q33" s="1228"/>
      <c r="R33" s="1228"/>
      <c r="S33" s="1228"/>
      <c r="T33" s="1228"/>
      <c r="U33" s="1228"/>
      <c r="V33" s="1228"/>
    </row>
    <row r="34" spans="1:22" ht="15.75" x14ac:dyDescent="0.25">
      <c r="A34" s="10" t="s">
        <v>11</v>
      </c>
      <c r="B34" s="48"/>
      <c r="C34" s="48"/>
      <c r="D34" s="48"/>
      <c r="E34" s="48"/>
      <c r="F34" s="48"/>
      <c r="G34" s="48"/>
      <c r="H34" s="48"/>
      <c r="I34" s="48"/>
      <c r="J34" s="48"/>
      <c r="K34" s="48"/>
      <c r="L34" s="48"/>
      <c r="M34" s="48"/>
      <c r="N34" s="48"/>
      <c r="O34" s="48"/>
      <c r="P34" s="48"/>
      <c r="Q34" s="48"/>
      <c r="R34" s="48"/>
      <c r="S34" s="48"/>
      <c r="T34" s="69" t="s">
        <v>84</v>
      </c>
      <c r="U34" s="48"/>
      <c r="V34" s="48"/>
    </row>
  </sheetData>
  <mergeCells count="22">
    <mergeCell ref="T2:V2"/>
    <mergeCell ref="D10:D11"/>
    <mergeCell ref="E10:G10"/>
    <mergeCell ref="A4:V4"/>
    <mergeCell ref="A5:V5"/>
    <mergeCell ref="A7:V7"/>
    <mergeCell ref="C10:C11"/>
    <mergeCell ref="B10:B11"/>
    <mergeCell ref="U31:V31"/>
    <mergeCell ref="A32:V32"/>
    <mergeCell ref="A33:V33"/>
    <mergeCell ref="S9:V9"/>
    <mergeCell ref="A26:B26"/>
    <mergeCell ref="A9:C9"/>
    <mergeCell ref="V10:V11"/>
    <mergeCell ref="U10:U11"/>
    <mergeCell ref="K10:M10"/>
    <mergeCell ref="N10:P10"/>
    <mergeCell ref="A10:A11"/>
    <mergeCell ref="H10:J10"/>
    <mergeCell ref="Q10:S10"/>
    <mergeCell ref="T10:T11"/>
  </mergeCells>
  <printOptions horizontalCentered="1"/>
  <pageMargins left="0.3" right="0.32" top="0.23622047244094491" bottom="0" header="0.31496062992125984" footer="0.31496062992125984"/>
  <pageSetup paperSize="9" scale="5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tint="0.39997558519241921"/>
    <pageSetUpPr fitToPage="1"/>
  </sheetPr>
  <dimension ref="A2:V33"/>
  <sheetViews>
    <sheetView view="pageBreakPreview" topLeftCell="A13" zoomScaleSheetLayoutView="100" workbookViewId="0">
      <selection activeCell="H25" activeCellId="1" sqref="C25 H25"/>
    </sheetView>
  </sheetViews>
  <sheetFormatPr defaultRowHeight="12.75" x14ac:dyDescent="0.2"/>
  <cols>
    <col min="1" max="1" width="9.140625" style="12"/>
    <col min="2" max="2" width="19.28515625" style="12" customWidth="1"/>
    <col min="3" max="3" width="17.140625" style="12" customWidth="1"/>
    <col min="4" max="4" width="17.85546875" style="12" customWidth="1"/>
    <col min="5" max="5" width="22.5703125" style="12" customWidth="1"/>
    <col min="6" max="6" width="22.5703125" style="785" customWidth="1"/>
    <col min="7" max="7" width="22.5703125" style="12" customWidth="1"/>
    <col min="8" max="8" width="19.42578125" style="12" customWidth="1"/>
    <col min="9" max="9" width="26" style="12" customWidth="1"/>
    <col min="10" max="16384" width="9.140625" style="12"/>
  </cols>
  <sheetData>
    <row r="2" spans="1:22" customFormat="1" ht="15" x14ac:dyDescent="0.2">
      <c r="F2" s="788"/>
      <c r="I2" s="31" t="s">
        <v>67</v>
      </c>
      <c r="J2" s="32"/>
    </row>
    <row r="3" spans="1:22" customFormat="1" ht="15" x14ac:dyDescent="0.2">
      <c r="A3" s="1152" t="s">
        <v>0</v>
      </c>
      <c r="B3" s="1152"/>
      <c r="C3" s="1152"/>
      <c r="D3" s="1152"/>
      <c r="E3" s="1152"/>
      <c r="F3" s="1152"/>
      <c r="G3" s="1152"/>
      <c r="H3" s="1152"/>
      <c r="I3" s="1152"/>
      <c r="J3" s="34"/>
    </row>
    <row r="4" spans="1:22" customFormat="1" ht="15.75" x14ac:dyDescent="0.25">
      <c r="A4" s="1131" t="s">
        <v>788</v>
      </c>
      <c r="B4" s="1131"/>
      <c r="C4" s="1131"/>
      <c r="D4" s="1131"/>
      <c r="E4" s="1131"/>
      <c r="F4" s="1131"/>
      <c r="G4" s="1131"/>
      <c r="H4" s="1131"/>
      <c r="I4" s="1131"/>
      <c r="J4" s="69"/>
      <c r="K4" s="69"/>
      <c r="L4" s="69"/>
      <c r="M4" s="69"/>
      <c r="N4" s="69"/>
      <c r="O4" s="69"/>
      <c r="P4" s="69"/>
      <c r="Q4" s="69"/>
      <c r="R4" s="69"/>
      <c r="S4" s="69"/>
      <c r="T4" s="69"/>
    </row>
    <row r="5" spans="1:22" ht="41.25" customHeight="1" x14ac:dyDescent="0.2">
      <c r="A5" s="1239" t="s">
        <v>881</v>
      </c>
      <c r="B5" s="1239"/>
      <c r="C5" s="1239"/>
      <c r="D5" s="1239"/>
      <c r="E5" s="1239"/>
      <c r="F5" s="1239"/>
      <c r="G5" s="1239"/>
      <c r="H5" s="1239"/>
      <c r="I5" s="1239"/>
    </row>
    <row r="7" spans="1:22" ht="0.75" customHeight="1" x14ac:dyDescent="0.2"/>
    <row r="8" spans="1:22" x14ac:dyDescent="0.2">
      <c r="I8" s="22" t="s">
        <v>24</v>
      </c>
    </row>
    <row r="9" spans="1:22" s="451" customFormat="1" ht="12" x14ac:dyDescent="0.2">
      <c r="A9" s="1240" t="s">
        <v>456</v>
      </c>
      <c r="B9" s="1240"/>
      <c r="C9" s="1240"/>
      <c r="D9" s="1238" t="s">
        <v>801</v>
      </c>
      <c r="E9" s="1238"/>
      <c r="F9" s="1238"/>
      <c r="G9" s="1238"/>
      <c r="H9" s="1238"/>
      <c r="I9" s="1238"/>
      <c r="U9" s="469"/>
      <c r="V9" s="470"/>
    </row>
    <row r="10" spans="1:22" ht="42.75" customHeight="1" x14ac:dyDescent="0.2">
      <c r="A10" s="189" t="s">
        <v>2</v>
      </c>
      <c r="B10" s="189" t="s">
        <v>3</v>
      </c>
      <c r="C10" s="792" t="s">
        <v>876</v>
      </c>
      <c r="D10" s="792" t="s">
        <v>882</v>
      </c>
      <c r="E10" s="233" t="s">
        <v>118</v>
      </c>
      <c r="F10" s="783" t="s">
        <v>834</v>
      </c>
      <c r="G10" s="765" t="s">
        <v>505</v>
      </c>
      <c r="H10" s="233" t="s">
        <v>169</v>
      </c>
      <c r="I10" s="755" t="s">
        <v>883</v>
      </c>
      <c r="J10" s="757"/>
    </row>
    <row r="11" spans="1:22" s="73" customFormat="1" ht="15.75" customHeight="1" x14ac:dyDescent="0.2">
      <c r="A11" s="246">
        <v>1</v>
      </c>
      <c r="B11" s="244">
        <v>2</v>
      </c>
      <c r="C11" s="246">
        <v>3</v>
      </c>
      <c r="D11" s="244">
        <v>4</v>
      </c>
      <c r="E11" s="246">
        <v>5</v>
      </c>
      <c r="F11" s="246">
        <v>6</v>
      </c>
      <c r="G11" s="244">
        <v>7</v>
      </c>
      <c r="H11" s="246">
        <v>8</v>
      </c>
      <c r="I11" s="246">
        <v>9</v>
      </c>
      <c r="J11" s="758"/>
    </row>
    <row r="12" spans="1:22" ht="24.95" customHeight="1" x14ac:dyDescent="0.2">
      <c r="A12" s="188">
        <v>1</v>
      </c>
      <c r="B12" s="219" t="s">
        <v>386</v>
      </c>
      <c r="C12" s="197">
        <v>32.81</v>
      </c>
      <c r="D12" s="197">
        <v>3.6</v>
      </c>
      <c r="E12" s="197">
        <v>23.18</v>
      </c>
      <c r="F12" s="197">
        <v>0</v>
      </c>
      <c r="G12" s="197">
        <v>2252.9</v>
      </c>
      <c r="H12" s="197">
        <v>26.780810000000002</v>
      </c>
      <c r="I12" s="756">
        <f>D12+E12-H12</f>
        <v>-8.1000000000130967E-4</v>
      </c>
      <c r="J12" s="759">
        <v>1961.9</v>
      </c>
      <c r="K12" s="73"/>
      <c r="L12" s="73"/>
      <c r="M12" s="73"/>
    </row>
    <row r="13" spans="1:22" ht="24.95" customHeight="1" x14ac:dyDescent="0.2">
      <c r="A13" s="188">
        <v>2</v>
      </c>
      <c r="B13" s="219" t="s">
        <v>387</v>
      </c>
      <c r="C13" s="197">
        <v>15.76</v>
      </c>
      <c r="D13" s="197">
        <v>13.14</v>
      </c>
      <c r="E13" s="197">
        <v>20.36</v>
      </c>
      <c r="F13" s="197">
        <v>0</v>
      </c>
      <c r="G13" s="197">
        <v>3726.1</v>
      </c>
      <c r="H13" s="197">
        <v>33.496899999999997</v>
      </c>
      <c r="I13" s="756">
        <f t="shared" ref="I13:I24" si="0">D13+E13-H13</f>
        <v>3.1000000000034333E-3</v>
      </c>
      <c r="J13" s="759">
        <v>2223.9</v>
      </c>
      <c r="K13" s="73"/>
      <c r="L13" s="73"/>
      <c r="M13" s="73"/>
    </row>
    <row r="14" spans="1:22" ht="24.95" customHeight="1" x14ac:dyDescent="0.2">
      <c r="A14" s="188">
        <v>3</v>
      </c>
      <c r="B14" s="219" t="s">
        <v>388</v>
      </c>
      <c r="C14" s="197">
        <v>24.27</v>
      </c>
      <c r="D14" s="197">
        <v>0.36</v>
      </c>
      <c r="E14" s="360">
        <v>28.03</v>
      </c>
      <c r="F14" s="197">
        <v>0</v>
      </c>
      <c r="G14" s="197">
        <v>3214.8</v>
      </c>
      <c r="H14" s="360">
        <v>28.391500000000004</v>
      </c>
      <c r="I14" s="756">
        <f t="shared" si="0"/>
        <v>-1.5000000000036096E-3</v>
      </c>
      <c r="J14" s="759">
        <v>1510.1</v>
      </c>
      <c r="K14" s="73"/>
      <c r="L14" s="73"/>
      <c r="M14" s="73"/>
    </row>
    <row r="15" spans="1:22" ht="24.95" customHeight="1" x14ac:dyDescent="0.2">
      <c r="A15" s="188">
        <v>4</v>
      </c>
      <c r="B15" s="219" t="s">
        <v>389</v>
      </c>
      <c r="C15" s="197">
        <v>15.06</v>
      </c>
      <c r="D15" s="197">
        <v>14.16</v>
      </c>
      <c r="E15" s="197">
        <v>8.89</v>
      </c>
      <c r="F15" s="197">
        <v>0</v>
      </c>
      <c r="G15" s="197">
        <v>2227.1</v>
      </c>
      <c r="H15" s="197">
        <v>23.046170000000004</v>
      </c>
      <c r="I15" s="756">
        <f t="shared" si="0"/>
        <v>3.8299999999971135E-3</v>
      </c>
      <c r="J15" s="759">
        <v>1216.5</v>
      </c>
      <c r="K15" s="73"/>
      <c r="L15" s="73"/>
      <c r="M15" s="73"/>
    </row>
    <row r="16" spans="1:22" ht="24.95" customHeight="1" x14ac:dyDescent="0.2">
      <c r="A16" s="188">
        <v>5</v>
      </c>
      <c r="B16" s="221" t="s">
        <v>390</v>
      </c>
      <c r="C16" s="197">
        <v>44.94</v>
      </c>
      <c r="D16" s="197">
        <v>0.45</v>
      </c>
      <c r="E16" s="360">
        <v>18.98</v>
      </c>
      <c r="F16" s="197">
        <v>0</v>
      </c>
      <c r="G16" s="197">
        <v>1273.2</v>
      </c>
      <c r="H16" s="360">
        <v>19.430820000000001</v>
      </c>
      <c r="I16" s="756">
        <f t="shared" si="0"/>
        <v>-8.200000000009311E-4</v>
      </c>
      <c r="J16" s="759">
        <v>1027</v>
      </c>
      <c r="K16" s="73"/>
      <c r="L16" s="73"/>
      <c r="M16" s="73"/>
    </row>
    <row r="17" spans="1:13" ht="24.95" customHeight="1" x14ac:dyDescent="0.2">
      <c r="A17" s="188">
        <v>6</v>
      </c>
      <c r="B17" s="219" t="s">
        <v>391</v>
      </c>
      <c r="C17" s="197">
        <v>70.89</v>
      </c>
      <c r="D17" s="197">
        <v>-4.3600000000000003</v>
      </c>
      <c r="E17" s="197">
        <v>23.04</v>
      </c>
      <c r="F17" s="197">
        <v>0</v>
      </c>
      <c r="G17" s="197">
        <v>766.8</v>
      </c>
      <c r="H17" s="197">
        <v>18.684920000000002</v>
      </c>
      <c r="I17" s="756">
        <f t="shared" si="0"/>
        <v>-4.9200000000020339E-3</v>
      </c>
      <c r="J17" s="759">
        <v>546</v>
      </c>
      <c r="K17" s="73"/>
      <c r="L17" s="73"/>
      <c r="M17" s="73"/>
    </row>
    <row r="18" spans="1:13" ht="24.95" customHeight="1" x14ac:dyDescent="0.2">
      <c r="A18" s="188">
        <v>7</v>
      </c>
      <c r="B18" s="221" t="s">
        <v>392</v>
      </c>
      <c r="C18" s="197">
        <v>42.62</v>
      </c>
      <c r="D18" s="197">
        <v>11.07</v>
      </c>
      <c r="E18" s="197">
        <v>25.71</v>
      </c>
      <c r="F18" s="197">
        <v>0</v>
      </c>
      <c r="G18" s="197">
        <v>1840</v>
      </c>
      <c r="H18" s="197">
        <v>36.782480000000007</v>
      </c>
      <c r="I18" s="756">
        <f t="shared" si="0"/>
        <v>-2.4800000000055888E-3</v>
      </c>
      <c r="J18" s="759">
        <v>1002.5</v>
      </c>
      <c r="K18" s="73"/>
      <c r="L18" s="73"/>
      <c r="M18" s="73"/>
    </row>
    <row r="19" spans="1:13" ht="24.95" customHeight="1" x14ac:dyDescent="0.2">
      <c r="A19" s="188">
        <v>8</v>
      </c>
      <c r="B19" s="219" t="s">
        <v>393</v>
      </c>
      <c r="C19" s="197">
        <v>32.94</v>
      </c>
      <c r="D19" s="197">
        <v>17.79</v>
      </c>
      <c r="E19" s="197">
        <v>22.44</v>
      </c>
      <c r="F19" s="197">
        <v>0</v>
      </c>
      <c r="G19" s="197">
        <v>2223.5</v>
      </c>
      <c r="H19" s="197">
        <v>40.22739</v>
      </c>
      <c r="I19" s="756">
        <f t="shared" si="0"/>
        <v>2.6100000000042201E-3</v>
      </c>
      <c r="J19" s="759">
        <v>1541.2</v>
      </c>
      <c r="K19" s="73"/>
      <c r="L19" s="73"/>
      <c r="M19" s="73"/>
    </row>
    <row r="20" spans="1:13" ht="24.95" customHeight="1" x14ac:dyDescent="0.2">
      <c r="A20" s="188">
        <v>9</v>
      </c>
      <c r="B20" s="219" t="s">
        <v>394</v>
      </c>
      <c r="C20" s="197">
        <v>23.25</v>
      </c>
      <c r="D20" s="197">
        <v>1.7</v>
      </c>
      <c r="E20" s="197">
        <v>15.5</v>
      </c>
      <c r="F20" s="197">
        <v>0</v>
      </c>
      <c r="G20" s="197">
        <v>1985.6</v>
      </c>
      <c r="H20" s="197">
        <v>17.202649999999998</v>
      </c>
      <c r="I20" s="756">
        <f t="shared" si="0"/>
        <v>-2.649999999999153E-3</v>
      </c>
      <c r="J20" s="759">
        <v>1985.6</v>
      </c>
      <c r="K20" s="73"/>
      <c r="L20" s="73"/>
      <c r="M20" s="73"/>
    </row>
    <row r="21" spans="1:13" ht="24.95" customHeight="1" x14ac:dyDescent="0.2">
      <c r="A21" s="188">
        <v>10</v>
      </c>
      <c r="B21" s="219" t="s">
        <v>395</v>
      </c>
      <c r="C21" s="197">
        <v>16.87</v>
      </c>
      <c r="D21" s="197">
        <v>2.08</v>
      </c>
      <c r="E21" s="197">
        <v>15.53</v>
      </c>
      <c r="F21" s="197">
        <v>0</v>
      </c>
      <c r="G21" s="197">
        <v>2740</v>
      </c>
      <c r="H21" s="197">
        <v>17.61</v>
      </c>
      <c r="I21" s="756">
        <f t="shared" si="0"/>
        <v>0</v>
      </c>
      <c r="J21" s="759">
        <v>1449.2</v>
      </c>
      <c r="K21" s="73"/>
      <c r="L21" s="73"/>
      <c r="M21" s="73"/>
    </row>
    <row r="22" spans="1:13" ht="24.95" customHeight="1" x14ac:dyDescent="0.2">
      <c r="A22" s="188">
        <v>11</v>
      </c>
      <c r="B22" s="219" t="s">
        <v>396</v>
      </c>
      <c r="C22" s="197">
        <v>38.369999999999997</v>
      </c>
      <c r="D22" s="197">
        <v>9.76</v>
      </c>
      <c r="E22" s="197">
        <v>57.41</v>
      </c>
      <c r="F22" s="197">
        <v>0</v>
      </c>
      <c r="G22" s="197">
        <v>3907.8</v>
      </c>
      <c r="H22" s="197">
        <v>66.760000000000005</v>
      </c>
      <c r="I22" s="756">
        <f>D22+E22-H22-0.01</f>
        <v>0.39999999999999658</v>
      </c>
      <c r="J22" s="759">
        <v>3097.6</v>
      </c>
      <c r="K22" s="73"/>
      <c r="L22" s="73"/>
      <c r="M22" s="73"/>
    </row>
    <row r="23" spans="1:13" ht="24.95" customHeight="1" x14ac:dyDescent="0.2">
      <c r="A23" s="188">
        <v>12</v>
      </c>
      <c r="B23" s="219" t="s">
        <v>397</v>
      </c>
      <c r="C23" s="197">
        <v>68.489999999999995</v>
      </c>
      <c r="D23" s="197">
        <v>4.6100000000000003</v>
      </c>
      <c r="E23" s="197">
        <v>6.75</v>
      </c>
      <c r="F23" s="197">
        <v>0</v>
      </c>
      <c r="G23" s="197">
        <v>421</v>
      </c>
      <c r="H23" s="197">
        <v>11.36</v>
      </c>
      <c r="I23" s="756">
        <f t="shared" si="0"/>
        <v>0</v>
      </c>
      <c r="J23" s="759">
        <v>421</v>
      </c>
      <c r="K23" s="73"/>
      <c r="L23" s="73"/>
      <c r="M23" s="73"/>
    </row>
    <row r="24" spans="1:13" ht="24.95" customHeight="1" x14ac:dyDescent="0.2">
      <c r="A24" s="188">
        <v>13</v>
      </c>
      <c r="B24" s="219" t="s">
        <v>398</v>
      </c>
      <c r="C24" s="197">
        <v>20.51</v>
      </c>
      <c r="D24" s="197">
        <v>0.99</v>
      </c>
      <c r="E24" s="360">
        <v>45.03</v>
      </c>
      <c r="F24" s="197">
        <v>0</v>
      </c>
      <c r="G24" s="197">
        <v>6135.6</v>
      </c>
      <c r="H24" s="360">
        <v>46.02188000000001</v>
      </c>
      <c r="I24" s="756">
        <f t="shared" si="0"/>
        <v>-1.8800000000069872E-3</v>
      </c>
      <c r="J24" s="759">
        <v>2325.3000000000002</v>
      </c>
      <c r="K24" s="73"/>
      <c r="L24" s="73"/>
      <c r="M24" s="73"/>
    </row>
    <row r="25" spans="1:13" s="11" customFormat="1" x14ac:dyDescent="0.2">
      <c r="A25" s="188" t="s">
        <v>18</v>
      </c>
      <c r="B25" s="188"/>
      <c r="C25" s="549">
        <f>SUM(C12:C24)</f>
        <v>446.78000000000003</v>
      </c>
      <c r="D25" s="198">
        <f>SUM(D12:D24)</f>
        <v>75.349999999999994</v>
      </c>
      <c r="E25" s="198">
        <f>SUM(E12:E24)</f>
        <v>310.85000000000002</v>
      </c>
      <c r="F25" s="198">
        <f>SUM(F12:F24)</f>
        <v>0</v>
      </c>
      <c r="G25" s="198">
        <f>AVERAGE(G12:G24)</f>
        <v>2516.4923076923078</v>
      </c>
      <c r="H25" s="198">
        <f>SUM(H12:H24)</f>
        <v>385.79552000000007</v>
      </c>
      <c r="I25" s="198">
        <f>SUM(I12:I24)+0.01</f>
        <v>0.40447999999998174</v>
      </c>
      <c r="J25" s="760">
        <v>1524.9</v>
      </c>
      <c r="K25" s="73"/>
      <c r="L25" s="73"/>
    </row>
    <row r="26" spans="1:13" ht="30" customHeight="1" x14ac:dyDescent="0.2">
      <c r="A26" s="1241" t="s">
        <v>1068</v>
      </c>
      <c r="B26" s="1241"/>
      <c r="C26" s="1241"/>
      <c r="D26" s="1241"/>
      <c r="E26" s="1241"/>
      <c r="F26" s="1241"/>
      <c r="G26" s="1241"/>
      <c r="H26" s="1241"/>
      <c r="I26" s="1241"/>
      <c r="J26" s="757"/>
    </row>
    <row r="27" spans="1:13" x14ac:dyDescent="0.2">
      <c r="C27" s="958">
        <v>2516.4899999999998</v>
      </c>
      <c r="D27" s="958">
        <v>9160.2800000000007</v>
      </c>
      <c r="E27" s="20"/>
      <c r="F27" s="20"/>
      <c r="G27" s="20"/>
      <c r="H27" s="980">
        <f>H25/C25</f>
        <v>0.86350221585567855</v>
      </c>
      <c r="I27" s="16"/>
    </row>
    <row r="28" spans="1:13" x14ac:dyDescent="0.2">
      <c r="D28" s="958">
        <v>8593.64</v>
      </c>
      <c r="E28" s="20"/>
      <c r="F28" s="20"/>
      <c r="G28" s="20"/>
      <c r="H28" s="16"/>
      <c r="I28" s="16"/>
    </row>
    <row r="29" spans="1:13" x14ac:dyDescent="0.2">
      <c r="D29" s="139">
        <f>SUM(D27:D28)</f>
        <v>17753.919999999998</v>
      </c>
      <c r="E29" s="8">
        <f>D29*C27*0.00001</f>
        <v>446.77562140799995</v>
      </c>
      <c r="F29" s="784"/>
      <c r="G29" s="8"/>
      <c r="H29" s="20"/>
      <c r="I29" s="16"/>
    </row>
    <row r="30" spans="1:13" x14ac:dyDescent="0.2">
      <c r="A30" s="24" t="s">
        <v>11</v>
      </c>
      <c r="E30" s="24"/>
      <c r="F30" s="24"/>
      <c r="G30" s="24"/>
      <c r="I30" s="80" t="s">
        <v>12</v>
      </c>
      <c r="J30" s="54"/>
    </row>
    <row r="31" spans="1:13" x14ac:dyDescent="0.2">
      <c r="E31" s="1161" t="s">
        <v>13</v>
      </c>
      <c r="F31" s="1161"/>
      <c r="G31" s="1161"/>
      <c r="H31" s="1161"/>
      <c r="I31" s="1161"/>
    </row>
    <row r="32" spans="1:13" x14ac:dyDescent="0.2">
      <c r="E32" s="1161" t="s">
        <v>19</v>
      </c>
      <c r="F32" s="1161"/>
      <c r="G32" s="1161"/>
      <c r="H32" s="1161"/>
      <c r="I32" s="1161"/>
    </row>
    <row r="33" spans="9:12" x14ac:dyDescent="0.2">
      <c r="I33" s="24" t="s">
        <v>84</v>
      </c>
      <c r="J33" s="24"/>
      <c r="K33" s="24"/>
      <c r="L33" s="24"/>
    </row>
  </sheetData>
  <mergeCells count="8">
    <mergeCell ref="A4:I4"/>
    <mergeCell ref="A3:I3"/>
    <mergeCell ref="D9:I9"/>
    <mergeCell ref="E31:I31"/>
    <mergeCell ref="E32:I32"/>
    <mergeCell ref="A5:I5"/>
    <mergeCell ref="A9:C9"/>
    <mergeCell ref="A26:I26"/>
  </mergeCells>
  <phoneticPr fontId="0" type="noConversion"/>
  <printOptions horizontalCentered="1"/>
  <pageMargins left="0.70866141732283472" right="0.70866141732283472" top="0.16" bottom="0" header="0.31" footer="0.31496062992125984"/>
  <pageSetup paperSize="9" scale="75" orientation="landscape" r:id="rId1"/>
  <colBreaks count="1" manualBreakCount="1">
    <brk id="9" min="1" max="33"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39997558519241921"/>
    <pageSetUpPr fitToPage="1"/>
  </sheetPr>
  <dimension ref="A2:T37"/>
  <sheetViews>
    <sheetView view="pageBreakPreview" topLeftCell="A11" zoomScale="94" zoomScaleSheetLayoutView="94" workbookViewId="0">
      <selection activeCell="G28" activeCellId="1" sqref="C28 G28"/>
    </sheetView>
  </sheetViews>
  <sheetFormatPr defaultRowHeight="12.75" x14ac:dyDescent="0.2"/>
  <cols>
    <col min="1" max="1" width="4.42578125" style="12" customWidth="1"/>
    <col min="2" max="2" width="38.85546875" style="12" customWidth="1"/>
    <col min="3" max="3" width="12.28515625" style="12" customWidth="1"/>
    <col min="4" max="5" width="15.140625" style="12" customWidth="1"/>
    <col min="6" max="6" width="15.85546875" style="12" customWidth="1"/>
    <col min="7" max="7" width="13.85546875" style="12" customWidth="1"/>
    <col min="8" max="8" width="45.5703125" style="12" customWidth="1"/>
    <col min="9" max="10" width="9.140625" style="12"/>
    <col min="11" max="11" width="10.140625" style="12" bestFit="1" customWidth="1"/>
    <col min="12" max="16384" width="9.140625" style="12"/>
  </cols>
  <sheetData>
    <row r="2" spans="1:20" customFormat="1" ht="15" x14ac:dyDescent="0.2">
      <c r="D2" s="24"/>
      <c r="E2" s="24"/>
      <c r="F2" s="24"/>
      <c r="G2" s="12"/>
      <c r="H2" s="31" t="s">
        <v>68</v>
      </c>
      <c r="I2" s="24"/>
      <c r="J2" s="12"/>
      <c r="L2" s="12"/>
      <c r="M2" s="32"/>
      <c r="N2" s="32"/>
    </row>
    <row r="3" spans="1:20" customFormat="1" ht="15" x14ac:dyDescent="0.2">
      <c r="A3" s="1152" t="s">
        <v>0</v>
      </c>
      <c r="B3" s="1152"/>
      <c r="C3" s="1152"/>
      <c r="D3" s="1152"/>
      <c r="E3" s="1152"/>
      <c r="F3" s="1152"/>
      <c r="G3" s="1152"/>
      <c r="H3" s="1152"/>
      <c r="I3" s="34"/>
      <c r="J3" s="34"/>
      <c r="K3" s="34"/>
      <c r="L3" s="34"/>
      <c r="M3" s="34"/>
      <c r="N3" s="34"/>
    </row>
    <row r="4" spans="1:20" customFormat="1" ht="15.75" x14ac:dyDescent="0.25">
      <c r="A4" s="1131" t="s">
        <v>788</v>
      </c>
      <c r="B4" s="1131"/>
      <c r="C4" s="1131"/>
      <c r="D4" s="1131"/>
      <c r="E4" s="1131"/>
      <c r="F4" s="1131"/>
      <c r="G4" s="1131"/>
      <c r="H4" s="1131"/>
      <c r="I4" s="69"/>
      <c r="J4" s="69"/>
      <c r="K4" s="69"/>
      <c r="L4" s="69"/>
      <c r="M4" s="69"/>
      <c r="N4" s="69"/>
      <c r="O4" s="69"/>
      <c r="P4" s="69"/>
      <c r="Q4" s="69"/>
    </row>
    <row r="5" spans="1:20" customFormat="1" ht="10.5" customHeight="1" x14ac:dyDescent="0.2"/>
    <row r="6" spans="1:20" ht="19.5" customHeight="1" x14ac:dyDescent="0.25">
      <c r="A6" s="1039" t="s">
        <v>1054</v>
      </c>
      <c r="B6" s="1248"/>
      <c r="C6" s="1248"/>
      <c r="D6" s="1248"/>
      <c r="E6" s="1248"/>
      <c r="F6" s="1248"/>
      <c r="G6" s="1248"/>
      <c r="H6" s="1248"/>
    </row>
    <row r="7" spans="1:20" s="10" customFormat="1" ht="15.75" hidden="1" customHeight="1" x14ac:dyDescent="0.25">
      <c r="A7" s="12"/>
      <c r="B7" s="12"/>
      <c r="C7" s="12"/>
      <c r="D7" s="12"/>
      <c r="E7" s="12"/>
      <c r="F7" s="12"/>
      <c r="G7" s="12"/>
      <c r="H7" s="12"/>
      <c r="I7" s="12"/>
      <c r="J7" s="12"/>
    </row>
    <row r="8" spans="1:20" s="10" customFormat="1" ht="15.75" x14ac:dyDescent="0.25">
      <c r="D8" s="12"/>
      <c r="E8" s="12"/>
      <c r="F8" s="12"/>
      <c r="G8" s="12"/>
      <c r="H8" s="465" t="s">
        <v>28</v>
      </c>
      <c r="I8" s="12"/>
    </row>
    <row r="9" spans="1:20" s="10" customFormat="1" ht="15.75" x14ac:dyDescent="0.25">
      <c r="A9" s="1240" t="s">
        <v>456</v>
      </c>
      <c r="B9" s="1240"/>
      <c r="C9" s="1240"/>
      <c r="D9" s="66"/>
      <c r="E9" s="66"/>
      <c r="F9" s="1238" t="s">
        <v>874</v>
      </c>
      <c r="G9" s="1238"/>
      <c r="H9" s="1238"/>
      <c r="J9" s="72"/>
      <c r="K9" s="72"/>
      <c r="L9" s="72"/>
      <c r="S9" s="78"/>
      <c r="T9" s="77"/>
    </row>
    <row r="10" spans="1:20" s="26" customFormat="1" ht="55.5" customHeight="1" x14ac:dyDescent="0.2">
      <c r="A10" s="25"/>
      <c r="B10" s="189" t="s">
        <v>29</v>
      </c>
      <c r="C10" s="791" t="s">
        <v>1056</v>
      </c>
      <c r="D10" s="791" t="s">
        <v>808</v>
      </c>
      <c r="E10" s="570" t="s">
        <v>699</v>
      </c>
      <c r="F10" s="189" t="s">
        <v>245</v>
      </c>
      <c r="G10" s="570" t="s">
        <v>700</v>
      </c>
      <c r="H10" s="791" t="s">
        <v>1055</v>
      </c>
    </row>
    <row r="11" spans="1:20" s="26" customFormat="1" ht="14.25" customHeight="1" x14ac:dyDescent="0.2">
      <c r="A11" s="41">
        <v>1</v>
      </c>
      <c r="B11" s="4">
        <v>2</v>
      </c>
      <c r="C11" s="3">
        <v>3</v>
      </c>
      <c r="D11" s="3">
        <v>4</v>
      </c>
      <c r="E11" s="3">
        <v>5</v>
      </c>
      <c r="F11" s="3">
        <v>6</v>
      </c>
      <c r="G11" s="3">
        <v>7</v>
      </c>
      <c r="H11" s="3">
        <v>8</v>
      </c>
    </row>
    <row r="12" spans="1:20" ht="16.5" customHeight="1" x14ac:dyDescent="0.2">
      <c r="A12" s="27" t="s">
        <v>30</v>
      </c>
      <c r="B12" s="19" t="s">
        <v>31</v>
      </c>
      <c r="C12" s="1253">
        <v>98.105000000000004</v>
      </c>
      <c r="D12" s="1249">
        <v>0.24</v>
      </c>
      <c r="E12" s="1249">
        <v>96.54</v>
      </c>
      <c r="F12" s="1245">
        <v>0</v>
      </c>
      <c r="G12" s="90"/>
      <c r="H12" s="1245">
        <f>(D18+E18)-G18</f>
        <v>0.93000000000000682</v>
      </c>
      <c r="I12" s="26"/>
      <c r="J12" s="26"/>
      <c r="K12" s="26"/>
      <c r="L12" s="26"/>
    </row>
    <row r="13" spans="1:20" ht="16.5" customHeight="1" x14ac:dyDescent="0.2">
      <c r="A13" s="28"/>
      <c r="B13" s="472" t="s">
        <v>1050</v>
      </c>
      <c r="C13" s="1254"/>
      <c r="D13" s="1246"/>
      <c r="E13" s="1246"/>
      <c r="F13" s="1256"/>
      <c r="G13" s="197">
        <v>3.24</v>
      </c>
      <c r="H13" s="1246"/>
      <c r="I13" s="26"/>
      <c r="J13" s="26"/>
      <c r="K13" s="26"/>
      <c r="L13" s="26"/>
    </row>
    <row r="14" spans="1:20" s="795" customFormat="1" ht="16.5" customHeight="1" x14ac:dyDescent="0.2">
      <c r="A14" s="28"/>
      <c r="B14" s="472" t="s">
        <v>1051</v>
      </c>
      <c r="C14" s="1254"/>
      <c r="D14" s="1246"/>
      <c r="E14" s="1246"/>
      <c r="F14" s="1256"/>
      <c r="G14" s="197">
        <v>0.5</v>
      </c>
      <c r="H14" s="1246"/>
      <c r="I14" s="26"/>
      <c r="J14" s="26"/>
      <c r="K14" s="26"/>
      <c r="L14" s="26"/>
    </row>
    <row r="15" spans="1:20" s="795" customFormat="1" ht="16.5" customHeight="1" x14ac:dyDescent="0.2">
      <c r="A15" s="28"/>
      <c r="B15" s="472" t="s">
        <v>1052</v>
      </c>
      <c r="C15" s="1254"/>
      <c r="D15" s="1246"/>
      <c r="E15" s="1246"/>
      <c r="F15" s="1256"/>
      <c r="G15" s="197">
        <v>0.72</v>
      </c>
      <c r="H15" s="1246"/>
      <c r="I15" s="26"/>
      <c r="J15" s="26"/>
      <c r="K15" s="26"/>
      <c r="L15" s="26"/>
    </row>
    <row r="16" spans="1:20" ht="18.75" customHeight="1" x14ac:dyDescent="0.2">
      <c r="A16" s="28"/>
      <c r="B16" s="472" t="s">
        <v>1053</v>
      </c>
      <c r="C16" s="1254"/>
      <c r="D16" s="1246"/>
      <c r="E16" s="1246"/>
      <c r="F16" s="1256"/>
      <c r="G16" s="90">
        <v>91.39</v>
      </c>
      <c r="H16" s="1246"/>
      <c r="I16" s="26"/>
      <c r="J16" s="26"/>
      <c r="K16" s="26"/>
      <c r="L16" s="26"/>
    </row>
    <row r="17" spans="1:12" s="26" customFormat="1" ht="29.25" customHeight="1" x14ac:dyDescent="0.2">
      <c r="A17" s="29"/>
      <c r="B17" s="473" t="s">
        <v>203</v>
      </c>
      <c r="C17" s="1255"/>
      <c r="D17" s="1247"/>
      <c r="E17" s="1247"/>
      <c r="F17" s="1257"/>
      <c r="G17" s="68">
        <v>0</v>
      </c>
      <c r="H17" s="1247"/>
    </row>
    <row r="18" spans="1:12" s="54" customFormat="1" ht="16.5" customHeight="1" x14ac:dyDescent="0.2">
      <c r="A18" s="25"/>
      <c r="B18" s="474" t="s">
        <v>32</v>
      </c>
      <c r="C18" s="852">
        <f>C12</f>
        <v>98.105000000000004</v>
      </c>
      <c r="D18" s="318">
        <f>D12</f>
        <v>0.24</v>
      </c>
      <c r="E18" s="318">
        <f>E12</f>
        <v>96.54</v>
      </c>
      <c r="F18" s="318">
        <f>F12</f>
        <v>0</v>
      </c>
      <c r="G18" s="318">
        <f>SUM(G13:G17)</f>
        <v>95.85</v>
      </c>
      <c r="H18" s="318">
        <f>H12</f>
        <v>0.93000000000000682</v>
      </c>
      <c r="I18" s="26"/>
      <c r="J18" s="26"/>
      <c r="K18" s="26"/>
      <c r="L18" s="26"/>
    </row>
    <row r="19" spans="1:12" s="26" customFormat="1" ht="38.25" x14ac:dyDescent="0.2">
      <c r="A19" s="25" t="s">
        <v>33</v>
      </c>
      <c r="B19" s="474" t="s">
        <v>244</v>
      </c>
      <c r="C19" s="1242">
        <v>98.105000000000004</v>
      </c>
      <c r="D19" s="1258">
        <v>0.24</v>
      </c>
      <c r="E19" s="1258">
        <v>96.55</v>
      </c>
      <c r="F19" s="1250">
        <v>0</v>
      </c>
      <c r="G19" s="197"/>
      <c r="H19" s="1250">
        <f>(D27+E27)-G27</f>
        <v>0.56999999999999318</v>
      </c>
    </row>
    <row r="20" spans="1:12" ht="30" customHeight="1" x14ac:dyDescent="0.2">
      <c r="A20" s="28"/>
      <c r="B20" s="473" t="s">
        <v>705</v>
      </c>
      <c r="C20" s="1243"/>
      <c r="D20" s="1259"/>
      <c r="E20" s="1259"/>
      <c r="F20" s="1251"/>
      <c r="G20" s="197">
        <v>65.709999999999994</v>
      </c>
      <c r="H20" s="1251"/>
      <c r="I20" s="26"/>
      <c r="J20" s="26"/>
      <c r="K20" s="26"/>
      <c r="L20" s="26"/>
    </row>
    <row r="21" spans="1:12" ht="16.5" customHeight="1" x14ac:dyDescent="0.2">
      <c r="A21" s="28"/>
      <c r="B21" s="473" t="s">
        <v>34</v>
      </c>
      <c r="C21" s="1243"/>
      <c r="D21" s="1259"/>
      <c r="E21" s="1259"/>
      <c r="F21" s="1251"/>
      <c r="G21" s="197">
        <v>5.33</v>
      </c>
      <c r="H21" s="1251"/>
      <c r="I21" s="26"/>
      <c r="J21" s="26"/>
      <c r="K21" s="26"/>
      <c r="L21" s="26"/>
    </row>
    <row r="22" spans="1:12" ht="16.5" customHeight="1" x14ac:dyDescent="0.2">
      <c r="A22" s="28"/>
      <c r="B22" s="473" t="s">
        <v>205</v>
      </c>
      <c r="C22" s="1243"/>
      <c r="D22" s="1259"/>
      <c r="E22" s="1259"/>
      <c r="F22" s="1251"/>
      <c r="G22" s="252">
        <v>4.6500000000000004</v>
      </c>
      <c r="H22" s="1251"/>
      <c r="I22" s="26"/>
      <c r="J22" s="26"/>
      <c r="K22" s="26"/>
      <c r="L22" s="26"/>
    </row>
    <row r="23" spans="1:12" s="26" customFormat="1" ht="25.5" x14ac:dyDescent="0.2">
      <c r="A23" s="29"/>
      <c r="B23" s="473" t="s">
        <v>35</v>
      </c>
      <c r="C23" s="1243"/>
      <c r="D23" s="1259"/>
      <c r="E23" s="1259"/>
      <c r="F23" s="1251"/>
      <c r="G23" s="252">
        <v>5.25</v>
      </c>
      <c r="H23" s="1251"/>
      <c r="J23" s="959"/>
    </row>
    <row r="24" spans="1:12" s="26" customFormat="1" ht="16.5" customHeight="1" x14ac:dyDescent="0.2">
      <c r="A24" s="29"/>
      <c r="B24" s="473" t="s">
        <v>204</v>
      </c>
      <c r="C24" s="1243"/>
      <c r="D24" s="1259"/>
      <c r="E24" s="1259"/>
      <c r="F24" s="1251"/>
      <c r="G24" s="252">
        <v>11.8</v>
      </c>
      <c r="H24" s="1251"/>
    </row>
    <row r="25" spans="1:12" s="26" customFormat="1" x14ac:dyDescent="0.2">
      <c r="A25" s="29"/>
      <c r="B25" s="473" t="s">
        <v>206</v>
      </c>
      <c r="C25" s="1243"/>
      <c r="D25" s="1259"/>
      <c r="E25" s="1259"/>
      <c r="F25" s="1251"/>
      <c r="G25" s="252">
        <v>3.48</v>
      </c>
      <c r="H25" s="1251"/>
    </row>
    <row r="26" spans="1:12" s="26" customFormat="1" ht="19.5" customHeight="1" x14ac:dyDescent="0.2">
      <c r="A26" s="25"/>
      <c r="B26" s="473" t="s">
        <v>207</v>
      </c>
      <c r="C26" s="1244"/>
      <c r="D26" s="1260"/>
      <c r="E26" s="1260"/>
      <c r="F26" s="1252"/>
      <c r="G26" s="252"/>
      <c r="H26" s="1252"/>
    </row>
    <row r="27" spans="1:12" s="54" customFormat="1" ht="16.5" customHeight="1" x14ac:dyDescent="0.2">
      <c r="A27" s="91"/>
      <c r="B27" s="475" t="s">
        <v>32</v>
      </c>
      <c r="C27" s="853">
        <f>C19</f>
        <v>98.105000000000004</v>
      </c>
      <c r="D27" s="319">
        <f>D19</f>
        <v>0.24</v>
      </c>
      <c r="E27" s="319">
        <f>E19</f>
        <v>96.55</v>
      </c>
      <c r="F27" s="319">
        <f>F19</f>
        <v>0</v>
      </c>
      <c r="G27" s="319">
        <f>SUM(G19:G26)</f>
        <v>96.22</v>
      </c>
      <c r="H27" s="320">
        <f>H19</f>
        <v>0.56999999999999318</v>
      </c>
      <c r="I27" s="26"/>
      <c r="J27" s="26"/>
      <c r="K27" s="26"/>
      <c r="L27" s="26"/>
    </row>
    <row r="28" spans="1:12" s="11" customFormat="1" ht="16.5" customHeight="1" x14ac:dyDescent="0.2">
      <c r="A28" s="27"/>
      <c r="B28" s="19" t="s">
        <v>36</v>
      </c>
      <c r="C28" s="318">
        <f t="shared" ref="C28:H28" si="0">C18+C27</f>
        <v>196.21</v>
      </c>
      <c r="D28" s="318">
        <f t="shared" si="0"/>
        <v>0.48</v>
      </c>
      <c r="E28" s="318">
        <f t="shared" si="0"/>
        <v>193.09</v>
      </c>
      <c r="F28" s="318">
        <f t="shared" si="0"/>
        <v>0</v>
      </c>
      <c r="G28" s="318">
        <f>G18+G27</f>
        <v>192.07</v>
      </c>
      <c r="H28" s="318">
        <f t="shared" si="0"/>
        <v>1.5</v>
      </c>
      <c r="I28" s="26"/>
      <c r="J28" s="26"/>
      <c r="K28" s="26"/>
      <c r="L28" s="26"/>
    </row>
    <row r="29" spans="1:12" s="11" customFormat="1" ht="16.5" customHeight="1" x14ac:dyDescent="0.2">
      <c r="A29" s="20"/>
      <c r="B29" s="20"/>
      <c r="C29" s="471"/>
      <c r="D29" s="471"/>
      <c r="E29" s="471"/>
      <c r="F29" s="471"/>
      <c r="G29" s="471"/>
      <c r="H29" s="471"/>
      <c r="I29" s="26"/>
      <c r="J29" s="26"/>
      <c r="K29" s="26"/>
      <c r="L29" s="26"/>
    </row>
    <row r="30" spans="1:12" s="11" customFormat="1" ht="16.5" customHeight="1" x14ac:dyDescent="0.2">
      <c r="B30" s="20"/>
      <c r="C30" s="471"/>
      <c r="D30" s="471"/>
      <c r="E30" s="471"/>
      <c r="F30" s="471"/>
      <c r="G30" s="981">
        <f>G28/C28</f>
        <v>0.978900157993986</v>
      </c>
      <c r="H30" s="471"/>
      <c r="I30" s="26"/>
      <c r="J30" s="26"/>
      <c r="K30" s="26"/>
      <c r="L30" s="26"/>
    </row>
    <row r="31" spans="1:12" s="26" customFormat="1" ht="16.5" customHeight="1" x14ac:dyDescent="0.2"/>
    <row r="32" spans="1:12" s="26" customFormat="1" ht="16.5" customHeight="1" x14ac:dyDescent="0.2"/>
    <row r="34" spans="1:8" x14ac:dyDescent="0.2">
      <c r="A34" s="24" t="s">
        <v>11</v>
      </c>
      <c r="E34" s="24"/>
      <c r="F34" s="24"/>
      <c r="H34" s="80" t="s">
        <v>12</v>
      </c>
    </row>
    <row r="35" spans="1:8" ht="12.75" customHeight="1" x14ac:dyDescent="0.2">
      <c r="E35" s="1161" t="s">
        <v>13</v>
      </c>
      <c r="F35" s="1161"/>
      <c r="G35" s="1161"/>
      <c r="H35" s="1161"/>
    </row>
    <row r="36" spans="1:8" ht="12.75" customHeight="1" x14ac:dyDescent="0.2">
      <c r="E36" s="1161" t="s">
        <v>19</v>
      </c>
      <c r="F36" s="1161"/>
      <c r="G36" s="1161"/>
      <c r="H36" s="1161"/>
    </row>
    <row r="37" spans="1:8" x14ac:dyDescent="0.2">
      <c r="H37" s="1" t="s">
        <v>611</v>
      </c>
    </row>
  </sheetData>
  <mergeCells count="17">
    <mergeCell ref="E35:H35"/>
    <mergeCell ref="E36:H36"/>
    <mergeCell ref="A3:H3"/>
    <mergeCell ref="A4:H4"/>
    <mergeCell ref="C12:C17"/>
    <mergeCell ref="D12:D17"/>
    <mergeCell ref="F12:F17"/>
    <mergeCell ref="C19:C26"/>
    <mergeCell ref="H12:H17"/>
    <mergeCell ref="A6:H6"/>
    <mergeCell ref="F9:H9"/>
    <mergeCell ref="A9:C9"/>
    <mergeCell ref="E12:E17"/>
    <mergeCell ref="H19:H26"/>
    <mergeCell ref="D19:D26"/>
    <mergeCell ref="E19:E26"/>
    <mergeCell ref="F19:F26"/>
  </mergeCells>
  <phoneticPr fontId="0" type="noConversion"/>
  <printOptions horizontalCentered="1"/>
  <pageMargins left="0.5" right="0.41" top="0.23622047244094491" bottom="0" header="0.31496062992125984" footer="0.31496062992125984"/>
  <pageSetup paperSize="9" scale="87"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5" tint="0.39997558519241921"/>
    <pageSetUpPr fitToPage="1"/>
  </sheetPr>
  <dimension ref="A1:R34"/>
  <sheetViews>
    <sheetView view="pageBreakPreview" topLeftCell="C17" zoomScale="90" zoomScaleSheetLayoutView="90" workbookViewId="0">
      <selection activeCell="D30" sqref="D30"/>
    </sheetView>
  </sheetViews>
  <sheetFormatPr defaultRowHeight="12.75" x14ac:dyDescent="0.2"/>
  <cols>
    <col min="1" max="1" width="9.140625" style="366"/>
    <col min="2" max="2" width="21.140625" style="366" customWidth="1"/>
    <col min="3" max="3" width="30.7109375" style="366" customWidth="1"/>
    <col min="4" max="4" width="30.140625" style="366" customWidth="1"/>
    <col min="5" max="5" width="34.7109375" style="366" customWidth="1"/>
    <col min="6" max="16384" width="9.140625" style="366"/>
  </cols>
  <sheetData>
    <row r="1" spans="1:18" s="361" customFormat="1" ht="15" x14ac:dyDescent="0.2">
      <c r="E1" s="362" t="s">
        <v>587</v>
      </c>
      <c r="F1" s="363"/>
    </row>
    <row r="2" spans="1:18" s="361" customFormat="1" ht="15" x14ac:dyDescent="0.2">
      <c r="A2" s="1261" t="s">
        <v>0</v>
      </c>
      <c r="B2" s="1261"/>
      <c r="C2" s="1261"/>
      <c r="D2" s="1261"/>
      <c r="E2" s="1261"/>
      <c r="F2" s="364"/>
    </row>
    <row r="3" spans="1:18" s="361" customFormat="1" ht="20.25" x14ac:dyDescent="0.3">
      <c r="A3" s="1262" t="s">
        <v>788</v>
      </c>
      <c r="B3" s="1262"/>
      <c r="C3" s="1262"/>
      <c r="D3" s="1262"/>
      <c r="E3" s="1262"/>
      <c r="F3" s="365"/>
    </row>
    <row r="4" spans="1:18" s="361" customFormat="1" ht="10.5" customHeight="1" x14ac:dyDescent="0.2"/>
    <row r="5" spans="1:18" ht="16.5" customHeight="1" x14ac:dyDescent="0.25">
      <c r="A5" s="1263" t="s">
        <v>884</v>
      </c>
      <c r="B5" s="1263"/>
      <c r="C5" s="1263"/>
      <c r="D5" s="1263"/>
      <c r="E5" s="1263"/>
    </row>
    <row r="7" spans="1:18" ht="0.75" customHeight="1" x14ac:dyDescent="0.2"/>
    <row r="8" spans="1:18" x14ac:dyDescent="0.2">
      <c r="A8" s="367" t="s">
        <v>588</v>
      </c>
    </row>
    <row r="9" spans="1:18" x14ac:dyDescent="0.2">
      <c r="D9" s="1264" t="s">
        <v>801</v>
      </c>
      <c r="E9" s="1264"/>
      <c r="Q9" s="368"/>
      <c r="R9" s="369"/>
    </row>
    <row r="10" spans="1:18" ht="26.25" customHeight="1" x14ac:dyDescent="0.2">
      <c r="A10" s="1265" t="s">
        <v>2</v>
      </c>
      <c r="B10" s="1265" t="s">
        <v>3</v>
      </c>
      <c r="C10" s="1266" t="s">
        <v>589</v>
      </c>
      <c r="D10" s="1267"/>
      <c r="E10" s="1268"/>
      <c r="Q10" s="369"/>
      <c r="R10" s="369"/>
    </row>
    <row r="11" spans="1:18" ht="56.25" customHeight="1" x14ac:dyDescent="0.2">
      <c r="A11" s="1265"/>
      <c r="B11" s="1265"/>
      <c r="C11" s="370" t="s">
        <v>590</v>
      </c>
      <c r="D11" s="370" t="s">
        <v>591</v>
      </c>
      <c r="E11" s="370" t="s">
        <v>592</v>
      </c>
    </row>
    <row r="12" spans="1:18" s="373" customFormat="1" ht="15.75" customHeight="1" x14ac:dyDescent="0.2">
      <c r="A12" s="371">
        <v>1</v>
      </c>
      <c r="B12" s="372">
        <v>2</v>
      </c>
      <c r="C12" s="371">
        <v>3</v>
      </c>
      <c r="D12" s="372">
        <v>4</v>
      </c>
      <c r="E12" s="371">
        <v>5</v>
      </c>
    </row>
    <row r="13" spans="1:18" ht="25.5" customHeight="1" x14ac:dyDescent="0.2">
      <c r="A13" s="188">
        <v>1</v>
      </c>
      <c r="B13" s="219" t="s">
        <v>386</v>
      </c>
      <c r="C13" s="685">
        <v>0</v>
      </c>
      <c r="D13" s="685">
        <v>0</v>
      </c>
      <c r="E13" s="199">
        <v>12526</v>
      </c>
    </row>
    <row r="14" spans="1:18" ht="25.5" customHeight="1" x14ac:dyDescent="0.2">
      <c r="A14" s="188">
        <v>2</v>
      </c>
      <c r="B14" s="219" t="s">
        <v>387</v>
      </c>
      <c r="C14" s="685">
        <v>0</v>
      </c>
      <c r="D14" s="685">
        <v>1</v>
      </c>
      <c r="E14" s="199">
        <v>2969</v>
      </c>
    </row>
    <row r="15" spans="1:18" ht="25.5" customHeight="1" x14ac:dyDescent="0.2">
      <c r="A15" s="188">
        <v>3</v>
      </c>
      <c r="B15" s="219" t="s">
        <v>388</v>
      </c>
      <c r="C15" s="685">
        <v>2</v>
      </c>
      <c r="D15" s="685">
        <v>1</v>
      </c>
      <c r="E15" s="199">
        <v>8939</v>
      </c>
    </row>
    <row r="16" spans="1:18" ht="25.5" customHeight="1" x14ac:dyDescent="0.2">
      <c r="A16" s="188">
        <v>4</v>
      </c>
      <c r="B16" s="219" t="s">
        <v>389</v>
      </c>
      <c r="C16" s="685">
        <v>0</v>
      </c>
      <c r="D16" s="685">
        <v>0</v>
      </c>
      <c r="E16" s="199">
        <v>3702</v>
      </c>
    </row>
    <row r="17" spans="1:6" ht="25.5" customHeight="1" x14ac:dyDescent="0.2">
      <c r="A17" s="188">
        <v>5</v>
      </c>
      <c r="B17" s="221" t="s">
        <v>390</v>
      </c>
      <c r="C17" s="686">
        <v>1</v>
      </c>
      <c r="D17" s="685">
        <v>1</v>
      </c>
      <c r="E17" s="199">
        <v>8217</v>
      </c>
    </row>
    <row r="18" spans="1:6" ht="25.5" customHeight="1" x14ac:dyDescent="0.2">
      <c r="A18" s="188">
        <v>6</v>
      </c>
      <c r="B18" s="219" t="s">
        <v>391</v>
      </c>
      <c r="C18" s="685">
        <v>0</v>
      </c>
      <c r="D18" s="685">
        <v>2</v>
      </c>
      <c r="E18" s="199">
        <v>2037</v>
      </c>
    </row>
    <row r="19" spans="1:6" ht="25.5" customHeight="1" x14ac:dyDescent="0.2">
      <c r="A19" s="188">
        <v>7</v>
      </c>
      <c r="B19" s="221" t="s">
        <v>392</v>
      </c>
      <c r="C19" s="685">
        <v>0</v>
      </c>
      <c r="D19" s="685">
        <v>1</v>
      </c>
      <c r="E19" s="199">
        <v>8640</v>
      </c>
    </row>
    <row r="20" spans="1:6" ht="25.5" customHeight="1" x14ac:dyDescent="0.2">
      <c r="A20" s="188">
        <v>8</v>
      </c>
      <c r="B20" s="219" t="s">
        <v>393</v>
      </c>
      <c r="C20" s="685">
        <v>0</v>
      </c>
      <c r="D20" s="685">
        <v>2</v>
      </c>
      <c r="E20" s="199">
        <v>13708</v>
      </c>
    </row>
    <row r="21" spans="1:6" ht="25.5" customHeight="1" x14ac:dyDescent="0.2">
      <c r="A21" s="188">
        <v>9</v>
      </c>
      <c r="B21" s="219" t="s">
        <v>394</v>
      </c>
      <c r="C21" s="685">
        <v>1</v>
      </c>
      <c r="D21" s="685">
        <v>0</v>
      </c>
      <c r="E21" s="199">
        <v>4464</v>
      </c>
    </row>
    <row r="22" spans="1:6" ht="25.5" customHeight="1" x14ac:dyDescent="0.2">
      <c r="A22" s="188">
        <v>10</v>
      </c>
      <c r="B22" s="219" t="s">
        <v>395</v>
      </c>
      <c r="C22" s="685">
        <v>1</v>
      </c>
      <c r="D22" s="685">
        <v>2</v>
      </c>
      <c r="E22" s="199">
        <v>1310</v>
      </c>
    </row>
    <row r="23" spans="1:6" ht="25.5" customHeight="1" x14ac:dyDescent="0.2">
      <c r="A23" s="188">
        <v>11</v>
      </c>
      <c r="B23" s="219" t="s">
        <v>396</v>
      </c>
      <c r="C23" s="685">
        <v>1</v>
      </c>
      <c r="D23" s="685">
        <v>2</v>
      </c>
      <c r="E23" s="199">
        <v>11365</v>
      </c>
    </row>
    <row r="24" spans="1:6" ht="25.5" customHeight="1" x14ac:dyDescent="0.2">
      <c r="A24" s="188">
        <v>12</v>
      </c>
      <c r="B24" s="219" t="s">
        <v>397</v>
      </c>
      <c r="C24" s="685">
        <v>0</v>
      </c>
      <c r="D24" s="685">
        <v>0</v>
      </c>
      <c r="E24" s="199">
        <v>10531</v>
      </c>
    </row>
    <row r="25" spans="1:6" ht="25.5" customHeight="1" x14ac:dyDescent="0.2">
      <c r="A25" s="188">
        <v>13</v>
      </c>
      <c r="B25" s="219" t="s">
        <v>398</v>
      </c>
      <c r="C25" s="685">
        <v>0</v>
      </c>
      <c r="D25" s="685">
        <v>0</v>
      </c>
      <c r="E25" s="199">
        <v>813</v>
      </c>
    </row>
    <row r="26" spans="1:6" ht="25.5" customHeight="1" x14ac:dyDescent="0.2">
      <c r="A26" s="1168" t="s">
        <v>18</v>
      </c>
      <c r="B26" s="1159"/>
      <c r="C26" s="379">
        <f>SUM(C13:C25)</f>
        <v>6</v>
      </c>
      <c r="D26" s="379">
        <f>SUM(D13:D25)</f>
        <v>12</v>
      </c>
      <c r="E26" s="379">
        <f>SUM(E13:E25)</f>
        <v>89221</v>
      </c>
    </row>
    <row r="27" spans="1:6" x14ac:dyDescent="0.2">
      <c r="E27" s="374"/>
    </row>
    <row r="28" spans="1:6" x14ac:dyDescent="0.2">
      <c r="E28" s="375"/>
    </row>
    <row r="29" spans="1:6" x14ac:dyDescent="0.2">
      <c r="E29" s="376"/>
      <c r="F29" s="377"/>
    </row>
    <row r="30" spans="1:6" x14ac:dyDescent="0.2">
      <c r="C30" s="476"/>
      <c r="D30" s="476"/>
      <c r="E30" s="476"/>
      <c r="F30" s="476"/>
    </row>
    <row r="31" spans="1:6" x14ac:dyDescent="0.2">
      <c r="B31" s="22"/>
      <c r="C31" s="22"/>
      <c r="E31" s="79" t="s">
        <v>12</v>
      </c>
    </row>
    <row r="32" spans="1:6" x14ac:dyDescent="0.2">
      <c r="B32" s="1161" t="s">
        <v>13</v>
      </c>
      <c r="C32" s="1161"/>
      <c r="D32" s="1161"/>
      <c r="E32" s="1161"/>
    </row>
    <row r="33" spans="1:5" x14ac:dyDescent="0.2">
      <c r="B33" s="1161" t="s">
        <v>19</v>
      </c>
      <c r="C33" s="1161"/>
      <c r="D33" s="1161"/>
      <c r="E33" s="1161"/>
    </row>
    <row r="34" spans="1:5" x14ac:dyDescent="0.2">
      <c r="A34" s="376" t="s">
        <v>11</v>
      </c>
      <c r="B34" s="476"/>
      <c r="C34" s="476"/>
      <c r="D34" s="476"/>
      <c r="E34" s="21" t="s">
        <v>611</v>
      </c>
    </row>
  </sheetData>
  <mergeCells count="10">
    <mergeCell ref="B33:E33"/>
    <mergeCell ref="B32:E32"/>
    <mergeCell ref="A2:E2"/>
    <mergeCell ref="A3:E3"/>
    <mergeCell ref="A26:B26"/>
    <mergeCell ref="A5:E5"/>
    <mergeCell ref="D9:E9"/>
    <mergeCell ref="A10:A11"/>
    <mergeCell ref="B10:B11"/>
    <mergeCell ref="C10:E10"/>
  </mergeCells>
  <printOptions horizontalCentered="1"/>
  <pageMargins left="0.70866141732283472" right="0.70866141732283472" top="0.23622047244094491" bottom="0" header="0.31496062992125984" footer="0.31496062992125984"/>
  <pageSetup paperSize="9" scale="85" orientation="landscape" r:id="rId1"/>
  <colBreaks count="1" manualBreakCount="1">
    <brk id="5"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39997558519241921"/>
  </sheetPr>
  <dimension ref="B2:J23"/>
  <sheetViews>
    <sheetView view="pageBreakPreview" topLeftCell="A13" zoomScale="112" zoomScaleSheetLayoutView="112" workbookViewId="0">
      <selection activeCell="H29" sqref="H29"/>
    </sheetView>
  </sheetViews>
  <sheetFormatPr defaultRowHeight="12.75" x14ac:dyDescent="0.2"/>
  <sheetData>
    <row r="2" spans="2:10" x14ac:dyDescent="0.2">
      <c r="B2" s="11"/>
    </row>
    <row r="4" spans="2:10" ht="12.75" customHeight="1" x14ac:dyDescent="0.2"/>
    <row r="5" spans="2:10" ht="12.75" customHeight="1" x14ac:dyDescent="0.2"/>
    <row r="6" spans="2:10" ht="12.75" customHeight="1" x14ac:dyDescent="0.2"/>
    <row r="7" spans="2:10" ht="12.75" customHeight="1" x14ac:dyDescent="0.2"/>
    <row r="8" spans="2:10" ht="12.75" customHeight="1" x14ac:dyDescent="0.2"/>
    <row r="9" spans="2:10" ht="12.75" customHeight="1" x14ac:dyDescent="0.2"/>
    <row r="10" spans="2:10" ht="12.75" customHeight="1" x14ac:dyDescent="0.2"/>
    <row r="11" spans="2:10" ht="12.75" customHeight="1" x14ac:dyDescent="0.2"/>
    <row r="12" spans="2:10" ht="12.75" customHeight="1" x14ac:dyDescent="0.2"/>
    <row r="13" spans="2:10" ht="12.75" customHeight="1" x14ac:dyDescent="0.2"/>
    <row r="14" spans="2:10" x14ac:dyDescent="0.2">
      <c r="D14" s="1022" t="s">
        <v>786</v>
      </c>
      <c r="E14" s="1022"/>
      <c r="F14" s="1022"/>
      <c r="G14" s="1022"/>
      <c r="H14" s="1022"/>
      <c r="I14" s="1022"/>
      <c r="J14" s="1022"/>
    </row>
    <row r="15" spans="2:10" x14ac:dyDescent="0.2">
      <c r="D15" s="1022"/>
      <c r="E15" s="1022"/>
      <c r="F15" s="1022"/>
      <c r="G15" s="1022"/>
      <c r="H15" s="1022"/>
      <c r="I15" s="1022"/>
      <c r="J15" s="1022"/>
    </row>
    <row r="16" spans="2:10" x14ac:dyDescent="0.2">
      <c r="D16" s="1022"/>
      <c r="E16" s="1022"/>
      <c r="F16" s="1022"/>
      <c r="G16" s="1022"/>
      <c r="H16" s="1022"/>
      <c r="I16" s="1022"/>
      <c r="J16" s="1022"/>
    </row>
    <row r="17" spans="4:10" x14ac:dyDescent="0.2">
      <c r="D17" s="1022"/>
      <c r="E17" s="1022"/>
      <c r="F17" s="1022"/>
      <c r="G17" s="1022"/>
      <c r="H17" s="1022"/>
      <c r="I17" s="1022"/>
      <c r="J17" s="1022"/>
    </row>
    <row r="18" spans="4:10" x14ac:dyDescent="0.2">
      <c r="D18" s="1022"/>
      <c r="E18" s="1022"/>
      <c r="F18" s="1022"/>
      <c r="G18" s="1022"/>
      <c r="H18" s="1022"/>
      <c r="I18" s="1022"/>
      <c r="J18" s="1022"/>
    </row>
    <row r="19" spans="4:10" x14ac:dyDescent="0.2">
      <c r="D19" s="1022"/>
      <c r="E19" s="1022"/>
      <c r="F19" s="1022"/>
      <c r="G19" s="1022"/>
      <c r="H19" s="1022"/>
      <c r="I19" s="1022"/>
      <c r="J19" s="1022"/>
    </row>
    <row r="20" spans="4:10" x14ac:dyDescent="0.2">
      <c r="D20" s="1022"/>
      <c r="E20" s="1022"/>
      <c r="F20" s="1022"/>
      <c r="G20" s="1022"/>
      <c r="H20" s="1022"/>
      <c r="I20" s="1022"/>
      <c r="J20" s="1022"/>
    </row>
    <row r="21" spans="4:10" x14ac:dyDescent="0.2">
      <c r="D21" s="1022"/>
      <c r="E21" s="1022"/>
      <c r="F21" s="1022"/>
      <c r="G21" s="1022"/>
      <c r="H21" s="1022"/>
      <c r="I21" s="1022"/>
      <c r="J21" s="1022"/>
    </row>
    <row r="22" spans="4:10" x14ac:dyDescent="0.2">
      <c r="D22" s="1022"/>
      <c r="E22" s="1022"/>
      <c r="F22" s="1022"/>
      <c r="G22" s="1022"/>
      <c r="H22" s="1022"/>
      <c r="I22" s="1022"/>
      <c r="J22" s="1022"/>
    </row>
    <row r="23" spans="4:10" x14ac:dyDescent="0.2">
      <c r="D23" s="1022"/>
      <c r="E23" s="1022"/>
      <c r="F23" s="1022"/>
      <c r="G23" s="1022"/>
      <c r="H23" s="1022"/>
      <c r="I23" s="1022"/>
      <c r="J23" s="1022"/>
    </row>
  </sheetData>
  <mergeCells count="1">
    <mergeCell ref="D14:J23"/>
  </mergeCells>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5" tint="0.39997558519241921"/>
  </sheetPr>
  <dimension ref="A1:I33"/>
  <sheetViews>
    <sheetView view="pageBreakPreview" topLeftCell="A6" zoomScaleSheetLayoutView="100" workbookViewId="0">
      <selection activeCell="C17" sqref="C17"/>
    </sheetView>
  </sheetViews>
  <sheetFormatPr defaultRowHeight="12.75" x14ac:dyDescent="0.2"/>
  <cols>
    <col min="1" max="1" width="5.28515625" customWidth="1"/>
    <col min="2" max="2" width="17" customWidth="1"/>
    <col min="3" max="3" width="33" customWidth="1"/>
    <col min="4" max="4" width="13.85546875" customWidth="1"/>
    <col min="5" max="5" width="12.7109375" customWidth="1"/>
    <col min="6" max="6" width="19.42578125" customWidth="1"/>
    <col min="7" max="7" width="11" customWidth="1"/>
    <col min="8" max="8" width="18.7109375" customWidth="1"/>
    <col min="9" max="9" width="11.7109375" customWidth="1"/>
  </cols>
  <sheetData>
    <row r="1" spans="1:9" ht="14.25" x14ac:dyDescent="0.2">
      <c r="H1" s="1271" t="s">
        <v>643</v>
      </c>
      <c r="I1" s="1271"/>
    </row>
    <row r="2" spans="1:9" ht="15.75" x14ac:dyDescent="0.25">
      <c r="A2" s="1131" t="s">
        <v>0</v>
      </c>
      <c r="B2" s="1131"/>
      <c r="C2" s="1131"/>
      <c r="D2" s="1131"/>
      <c r="E2" s="1131"/>
      <c r="F2" s="1131"/>
      <c r="G2" s="1131"/>
      <c r="H2" s="1131"/>
      <c r="I2" s="1131"/>
    </row>
    <row r="3" spans="1:9" ht="15.75" x14ac:dyDescent="0.25">
      <c r="A3" s="1131" t="s">
        <v>788</v>
      </c>
      <c r="B3" s="1131"/>
      <c r="C3" s="1131"/>
      <c r="D3" s="1131"/>
      <c r="E3" s="1131"/>
      <c r="F3" s="1131"/>
      <c r="G3" s="1131"/>
      <c r="H3" s="1131"/>
      <c r="I3" s="1131"/>
    </row>
    <row r="4" spans="1:9" ht="18.75" x14ac:dyDescent="0.2">
      <c r="A4" s="1273" t="s">
        <v>885</v>
      </c>
      <c r="B4" s="1273"/>
      <c r="C4" s="1273"/>
      <c r="D4" s="1273"/>
      <c r="E4" s="1273"/>
      <c r="F4" s="1273"/>
      <c r="G4" s="1273"/>
      <c r="H4" s="1273"/>
      <c r="I4" s="1273"/>
    </row>
    <row r="5" spans="1:9" ht="7.5" customHeight="1" x14ac:dyDescent="0.2"/>
    <row r="6" spans="1:9" ht="21" x14ac:dyDescent="0.2">
      <c r="A6" s="317" t="s">
        <v>575</v>
      </c>
      <c r="C6" s="129"/>
      <c r="D6" s="129"/>
      <c r="E6" s="129"/>
      <c r="F6" s="129"/>
      <c r="G6" s="129"/>
      <c r="H6" s="1275"/>
      <c r="I6" s="1275"/>
    </row>
    <row r="7" spans="1:9" ht="21" customHeight="1" x14ac:dyDescent="0.2">
      <c r="A7" s="1272" t="s">
        <v>74</v>
      </c>
      <c r="B7" s="1272" t="s">
        <v>37</v>
      </c>
      <c r="C7" s="1272" t="s">
        <v>528</v>
      </c>
      <c r="D7" s="1272" t="s">
        <v>529</v>
      </c>
      <c r="E7" s="1272" t="s">
        <v>530</v>
      </c>
      <c r="F7" s="1272"/>
      <c r="G7" s="1272"/>
      <c r="H7" s="1272" t="s">
        <v>531</v>
      </c>
      <c r="I7" s="1277" t="s">
        <v>532</v>
      </c>
    </row>
    <row r="8" spans="1:9" ht="22.5" customHeight="1" x14ac:dyDescent="0.2">
      <c r="A8" s="1272"/>
      <c r="B8" s="1272"/>
      <c r="C8" s="1272"/>
      <c r="D8" s="1272"/>
      <c r="E8" s="1272" t="s">
        <v>533</v>
      </c>
      <c r="F8" s="1272" t="s">
        <v>534</v>
      </c>
      <c r="G8" s="1272" t="s">
        <v>535</v>
      </c>
      <c r="H8" s="1272"/>
      <c r="I8" s="1278"/>
    </row>
    <row r="9" spans="1:9" ht="27" customHeight="1" x14ac:dyDescent="0.2">
      <c r="A9" s="1272"/>
      <c r="B9" s="1272"/>
      <c r="C9" s="1272"/>
      <c r="D9" s="1272"/>
      <c r="E9" s="1272"/>
      <c r="F9" s="1272"/>
      <c r="G9" s="1272"/>
      <c r="H9" s="1272"/>
      <c r="I9" s="1278"/>
    </row>
    <row r="10" spans="1:9" ht="20.25" customHeight="1" x14ac:dyDescent="0.2">
      <c r="A10" s="1272"/>
      <c r="B10" s="1272"/>
      <c r="C10" s="1272"/>
      <c r="D10" s="1272"/>
      <c r="E10" s="1272"/>
      <c r="F10" s="1272"/>
      <c r="G10" s="1272"/>
      <c r="H10" s="1272"/>
      <c r="I10" s="1279"/>
    </row>
    <row r="11" spans="1:9" ht="15" x14ac:dyDescent="0.25">
      <c r="A11" s="296">
        <v>1</v>
      </c>
      <c r="B11" s="296">
        <v>2</v>
      </c>
      <c r="C11" s="130">
        <v>3</v>
      </c>
      <c r="D11" s="296">
        <v>4</v>
      </c>
      <c r="E11" s="296">
        <v>6</v>
      </c>
      <c r="F11" s="130">
        <v>7</v>
      </c>
      <c r="G11" s="296">
        <v>8</v>
      </c>
      <c r="H11" s="130">
        <v>9</v>
      </c>
      <c r="I11" s="296">
        <v>10</v>
      </c>
    </row>
    <row r="12" spans="1:9" ht="19.5" customHeight="1" x14ac:dyDescent="0.2">
      <c r="A12" s="188">
        <v>1</v>
      </c>
      <c r="B12" s="219" t="s">
        <v>386</v>
      </c>
      <c r="C12" s="673"/>
      <c r="D12" s="673"/>
      <c r="E12" s="673"/>
      <c r="F12" s="673"/>
      <c r="G12" s="673"/>
      <c r="H12" s="673"/>
      <c r="I12" s="673"/>
    </row>
    <row r="13" spans="1:9" ht="19.5" customHeight="1" x14ac:dyDescent="0.2">
      <c r="A13" s="188">
        <v>2</v>
      </c>
      <c r="B13" s="219" t="s">
        <v>387</v>
      </c>
      <c r="C13" s="673"/>
      <c r="D13" s="673"/>
      <c r="E13" s="673"/>
      <c r="F13" s="673"/>
      <c r="G13" s="673"/>
      <c r="H13" s="673"/>
      <c r="I13" s="673"/>
    </row>
    <row r="14" spans="1:9" ht="19.5" customHeight="1" x14ac:dyDescent="0.2">
      <c r="A14" s="188">
        <v>3</v>
      </c>
      <c r="B14" s="219" t="s">
        <v>388</v>
      </c>
      <c r="C14" s="673"/>
      <c r="D14" s="673"/>
      <c r="E14" s="673"/>
      <c r="F14" s="673"/>
      <c r="G14" s="673"/>
      <c r="H14" s="673"/>
      <c r="I14" s="673"/>
    </row>
    <row r="15" spans="1:9" ht="19.5" customHeight="1" x14ac:dyDescent="0.2">
      <c r="A15" s="188">
        <v>4</v>
      </c>
      <c r="B15" s="219" t="s">
        <v>389</v>
      </c>
      <c r="C15" s="673"/>
      <c r="D15" s="673"/>
      <c r="E15" s="673"/>
      <c r="F15" s="673"/>
      <c r="G15" s="673"/>
      <c r="H15" s="673"/>
      <c r="I15" s="673"/>
    </row>
    <row r="16" spans="1:9" ht="19.5" customHeight="1" x14ac:dyDescent="0.2">
      <c r="A16" s="188">
        <v>5</v>
      </c>
      <c r="B16" s="221" t="s">
        <v>390</v>
      </c>
      <c r="C16" s="673"/>
      <c r="D16" s="673"/>
      <c r="E16" s="673"/>
      <c r="F16" s="673"/>
      <c r="G16" s="673"/>
      <c r="H16" s="673"/>
      <c r="I16" s="673"/>
    </row>
    <row r="17" spans="1:9" ht="57.75" customHeight="1" x14ac:dyDescent="0.2">
      <c r="A17" s="188">
        <v>6</v>
      </c>
      <c r="B17" s="219" t="s">
        <v>391</v>
      </c>
      <c r="C17" s="323" t="s">
        <v>1064</v>
      </c>
      <c r="D17" s="674">
        <v>45</v>
      </c>
      <c r="E17" s="674" t="s">
        <v>742</v>
      </c>
      <c r="F17" s="674" t="s">
        <v>742</v>
      </c>
      <c r="G17" s="673"/>
      <c r="H17" s="323" t="s">
        <v>1133</v>
      </c>
      <c r="I17" s="674">
        <v>50000</v>
      </c>
    </row>
    <row r="18" spans="1:9" ht="19.5" customHeight="1" x14ac:dyDescent="0.2">
      <c r="A18" s="188">
        <v>7</v>
      </c>
      <c r="B18" s="221" t="s">
        <v>392</v>
      </c>
      <c r="C18" s="673"/>
      <c r="D18" s="673"/>
      <c r="E18" s="673"/>
      <c r="F18" s="673"/>
      <c r="G18" s="673"/>
      <c r="H18" s="673"/>
      <c r="I18" s="673"/>
    </row>
    <row r="19" spans="1:9" ht="19.5" customHeight="1" x14ac:dyDescent="0.2">
      <c r="A19" s="188">
        <v>8</v>
      </c>
      <c r="B19" s="219" t="s">
        <v>393</v>
      </c>
      <c r="C19" s="673"/>
      <c r="D19" s="673"/>
      <c r="E19" s="673"/>
      <c r="F19" s="673"/>
      <c r="G19" s="673"/>
      <c r="H19" s="673"/>
      <c r="I19" s="673"/>
    </row>
    <row r="20" spans="1:9" ht="19.5" customHeight="1" x14ac:dyDescent="0.2">
      <c r="A20" s="188">
        <v>9</v>
      </c>
      <c r="B20" s="219" t="s">
        <v>394</v>
      </c>
      <c r="C20" s="673"/>
      <c r="D20" s="673"/>
      <c r="E20" s="673"/>
      <c r="F20" s="673"/>
      <c r="G20" s="673"/>
      <c r="H20" s="673"/>
      <c r="I20" s="673"/>
    </row>
    <row r="21" spans="1:9" ht="19.5" customHeight="1" x14ac:dyDescent="0.2">
      <c r="A21" s="188">
        <v>10</v>
      </c>
      <c r="B21" s="219" t="s">
        <v>395</v>
      </c>
      <c r="C21" s="673"/>
      <c r="D21" s="673"/>
      <c r="E21" s="673"/>
      <c r="F21" s="673"/>
      <c r="G21" s="673"/>
      <c r="H21" s="673"/>
      <c r="I21" s="673"/>
    </row>
    <row r="22" spans="1:9" ht="20.25" customHeight="1" x14ac:dyDescent="0.2">
      <c r="A22" s="188">
        <v>11</v>
      </c>
      <c r="B22" s="219" t="s">
        <v>396</v>
      </c>
      <c r="C22" s="835"/>
      <c r="D22" s="674"/>
      <c r="E22" s="674"/>
      <c r="F22" s="674"/>
      <c r="G22" s="674"/>
      <c r="H22" s="836"/>
      <c r="I22" s="674"/>
    </row>
    <row r="23" spans="1:9" ht="20.25" customHeight="1" x14ac:dyDescent="0.2">
      <c r="A23" s="188">
        <v>12</v>
      </c>
      <c r="B23" s="219" t="s">
        <v>397</v>
      </c>
      <c r="C23" s="835"/>
      <c r="D23" s="674"/>
      <c r="E23" s="674"/>
      <c r="F23" s="674"/>
      <c r="G23" s="674"/>
      <c r="H23" s="836"/>
      <c r="I23" s="674"/>
    </row>
    <row r="24" spans="1:9" ht="20.25" customHeight="1" x14ac:dyDescent="0.2">
      <c r="A24" s="188">
        <v>13</v>
      </c>
      <c r="B24" s="219" t="s">
        <v>398</v>
      </c>
      <c r="C24" s="673"/>
      <c r="D24" s="673"/>
      <c r="E24" s="673"/>
      <c r="F24" s="673"/>
      <c r="G24" s="673"/>
      <c r="H24" s="673"/>
      <c r="I24" s="673"/>
    </row>
    <row r="25" spans="1:9" ht="22.5" customHeight="1" x14ac:dyDescent="0.2">
      <c r="A25" s="1269" t="s">
        <v>18</v>
      </c>
      <c r="B25" s="1270"/>
      <c r="C25" s="6"/>
      <c r="D25" s="764">
        <v>45</v>
      </c>
      <c r="E25" s="764" t="s">
        <v>742</v>
      </c>
      <c r="F25" s="764" t="s">
        <v>742</v>
      </c>
      <c r="G25" s="19"/>
      <c r="H25" s="19"/>
      <c r="I25" s="764">
        <v>50000</v>
      </c>
    </row>
    <row r="28" spans="1:9" ht="14.25" customHeight="1" x14ac:dyDescent="0.2">
      <c r="A28" s="114"/>
      <c r="B28" s="114"/>
      <c r="C28" s="114"/>
      <c r="D28" s="114"/>
    </row>
    <row r="29" spans="1:9" x14ac:dyDescent="0.2">
      <c r="A29" s="114"/>
      <c r="B29" s="114"/>
      <c r="C29" s="114"/>
      <c r="D29" s="114"/>
    </row>
    <row r="30" spans="1:9" x14ac:dyDescent="0.2">
      <c r="A30" s="114"/>
      <c r="B30" s="114"/>
      <c r="C30" s="114"/>
      <c r="D30" s="114"/>
      <c r="H30" s="1276" t="s">
        <v>12</v>
      </c>
      <c r="I30" s="1276"/>
    </row>
    <row r="31" spans="1:9" ht="12.75" customHeight="1" x14ac:dyDescent="0.2">
      <c r="A31" s="114" t="s">
        <v>11</v>
      </c>
      <c r="C31" s="114"/>
      <c r="D31" s="114"/>
      <c r="H31" s="1274" t="s">
        <v>13</v>
      </c>
      <c r="I31" s="1274"/>
    </row>
    <row r="32" spans="1:9" ht="12.75" customHeight="1" x14ac:dyDescent="0.2">
      <c r="H32" s="1274" t="s">
        <v>87</v>
      </c>
      <c r="I32" s="1274"/>
    </row>
    <row r="33" spans="8:8" x14ac:dyDescent="0.2">
      <c r="H33" s="116" t="s">
        <v>84</v>
      </c>
    </row>
  </sheetData>
  <mergeCells count="19">
    <mergeCell ref="H31:I31"/>
    <mergeCell ref="H32:I32"/>
    <mergeCell ref="H6:I6"/>
    <mergeCell ref="H30:I30"/>
    <mergeCell ref="H7:H10"/>
    <mergeCell ref="I7:I10"/>
    <mergeCell ref="A25:B25"/>
    <mergeCell ref="H1:I1"/>
    <mergeCell ref="A7:A10"/>
    <mergeCell ref="B7:B10"/>
    <mergeCell ref="C7:C10"/>
    <mergeCell ref="D7:D10"/>
    <mergeCell ref="E7:G7"/>
    <mergeCell ref="E8:E10"/>
    <mergeCell ref="F8:F10"/>
    <mergeCell ref="G8:G10"/>
    <mergeCell ref="A2:I2"/>
    <mergeCell ref="A3:I3"/>
    <mergeCell ref="A4:I4"/>
  </mergeCells>
  <printOptions horizontalCentered="1"/>
  <pageMargins left="0.34" right="0.36" top="0.3" bottom="0.35" header="0.17" footer="0.16"/>
  <pageSetup paperSize="9" scale="9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5" tint="0.39997558519241921"/>
  </sheetPr>
  <dimension ref="A1:K31"/>
  <sheetViews>
    <sheetView view="pageBreakPreview" topLeftCell="C10" zoomScaleSheetLayoutView="100" workbookViewId="0">
      <selection activeCell="C11" sqref="C11:J23"/>
    </sheetView>
  </sheetViews>
  <sheetFormatPr defaultRowHeight="18.75" customHeight="1" x14ac:dyDescent="0.2"/>
  <cols>
    <col min="1" max="1" width="6.5703125" customWidth="1"/>
    <col min="2" max="2" width="20.42578125" customWidth="1"/>
    <col min="3" max="3" width="12.85546875" customWidth="1"/>
    <col min="4" max="4" width="14.5703125" customWidth="1"/>
    <col min="5" max="5" width="14.28515625" customWidth="1"/>
    <col min="6" max="6" width="14.5703125" customWidth="1"/>
    <col min="7" max="7" width="11.42578125" customWidth="1"/>
    <col min="8" max="8" width="17.7109375" customWidth="1"/>
    <col min="9" max="9" width="16.42578125" customWidth="1"/>
    <col min="10" max="10" width="20.42578125" customWidth="1"/>
  </cols>
  <sheetData>
    <row r="1" spans="1:11" ht="18.75" customHeight="1" x14ac:dyDescent="0.2">
      <c r="J1" s="533" t="s">
        <v>645</v>
      </c>
    </row>
    <row r="2" spans="1:11" ht="18.75" customHeight="1" x14ac:dyDescent="0.3">
      <c r="A2" s="1281" t="s">
        <v>0</v>
      </c>
      <c r="B2" s="1281"/>
      <c r="C2" s="1281"/>
      <c r="D2" s="1281"/>
      <c r="E2" s="1281"/>
      <c r="F2" s="1281"/>
      <c r="G2" s="1281"/>
      <c r="H2" s="1281"/>
      <c r="I2" s="1281"/>
      <c r="J2" s="1281"/>
    </row>
    <row r="3" spans="1:11" ht="18.75" customHeight="1" x14ac:dyDescent="0.35">
      <c r="A3" s="551"/>
      <c r="B3" s="551"/>
      <c r="C3" s="551"/>
      <c r="D3" s="551"/>
      <c r="E3" s="551"/>
      <c r="F3" s="551"/>
      <c r="G3" s="551"/>
      <c r="H3" s="551"/>
      <c r="I3" s="1271" t="s">
        <v>646</v>
      </c>
      <c r="J3" s="1271"/>
      <c r="K3" s="554"/>
    </row>
    <row r="4" spans="1:11" ht="18.75" customHeight="1" x14ac:dyDescent="0.2">
      <c r="A4" s="1289" t="s">
        <v>788</v>
      </c>
      <c r="B4" s="1289"/>
      <c r="C4" s="1289"/>
      <c r="D4" s="1289"/>
      <c r="E4" s="1289"/>
      <c r="F4" s="1289"/>
      <c r="G4" s="1289"/>
      <c r="H4" s="1289"/>
      <c r="I4" s="1289"/>
      <c r="J4" s="1289"/>
    </row>
    <row r="5" spans="1:11" ht="3" customHeight="1" x14ac:dyDescent="0.3">
      <c r="A5" s="111"/>
      <c r="B5" s="111"/>
      <c r="C5" s="111"/>
      <c r="D5" s="111"/>
      <c r="E5" s="111"/>
      <c r="F5" s="111"/>
      <c r="G5" s="111"/>
      <c r="H5" s="111"/>
      <c r="I5" s="111"/>
    </row>
    <row r="6" spans="1:11" ht="18.75" customHeight="1" x14ac:dyDescent="0.3">
      <c r="A6" s="1288" t="s">
        <v>644</v>
      </c>
      <c r="B6" s="1288"/>
      <c r="C6" s="1288"/>
      <c r="D6" s="1288"/>
      <c r="E6" s="1288"/>
      <c r="F6" s="1288"/>
      <c r="G6" s="1288"/>
      <c r="H6" s="1288"/>
      <c r="I6" s="1288"/>
      <c r="J6" s="1288"/>
    </row>
    <row r="7" spans="1:11" ht="18.75" customHeight="1" x14ac:dyDescent="0.3">
      <c r="A7" s="112" t="s">
        <v>574</v>
      </c>
      <c r="B7" s="112"/>
      <c r="C7" s="112"/>
      <c r="D7" s="112"/>
      <c r="E7" s="112"/>
      <c r="F7" s="112"/>
      <c r="G7" s="112"/>
      <c r="H7" s="112"/>
      <c r="I7" s="1290" t="s">
        <v>795</v>
      </c>
      <c r="J7" s="1290"/>
    </row>
    <row r="8" spans="1:11" ht="18.75" customHeight="1" x14ac:dyDescent="0.2">
      <c r="A8" s="1282" t="s">
        <v>2</v>
      </c>
      <c r="B8" s="1282" t="s">
        <v>545</v>
      </c>
      <c r="C8" s="1145" t="s">
        <v>408</v>
      </c>
      <c r="D8" s="1145"/>
      <c r="E8" s="1145"/>
      <c r="F8" s="1283" t="s">
        <v>546</v>
      </c>
      <c r="G8" s="1284"/>
      <c r="H8" s="1284"/>
      <c r="I8" s="1285"/>
      <c r="J8" s="1286" t="s">
        <v>547</v>
      </c>
    </row>
    <row r="9" spans="1:11" ht="79.5" customHeight="1" x14ac:dyDescent="0.2">
      <c r="A9" s="1282"/>
      <c r="B9" s="1282"/>
      <c r="C9" s="189" t="s">
        <v>106</v>
      </c>
      <c r="D9" s="189" t="s">
        <v>548</v>
      </c>
      <c r="E9" s="189" t="s">
        <v>549</v>
      </c>
      <c r="F9" s="226" t="s">
        <v>550</v>
      </c>
      <c r="G9" s="226" t="s">
        <v>551</v>
      </c>
      <c r="H9" s="226" t="s">
        <v>552</v>
      </c>
      <c r="I9" s="226" t="s">
        <v>47</v>
      </c>
      <c r="J9" s="1287"/>
    </row>
    <row r="10" spans="1:11" ht="18.75" customHeight="1" x14ac:dyDescent="0.2">
      <c r="A10" s="299" t="s">
        <v>287</v>
      </c>
      <c r="B10" s="299" t="s">
        <v>288</v>
      </c>
      <c r="C10" s="299" t="s">
        <v>289</v>
      </c>
      <c r="D10" s="299" t="s">
        <v>290</v>
      </c>
      <c r="E10" s="299" t="s">
        <v>291</v>
      </c>
      <c r="F10" s="299" t="s">
        <v>294</v>
      </c>
      <c r="G10" s="299" t="s">
        <v>315</v>
      </c>
      <c r="H10" s="299" t="s">
        <v>316</v>
      </c>
      <c r="I10" s="299" t="s">
        <v>317</v>
      </c>
      <c r="J10" s="299" t="s">
        <v>345</v>
      </c>
    </row>
    <row r="11" spans="1:11" s="532" customFormat="1" ht="18.75" customHeight="1" x14ac:dyDescent="0.2">
      <c r="A11" s="587">
        <v>1</v>
      </c>
      <c r="B11" s="219" t="s">
        <v>386</v>
      </c>
      <c r="C11" s="1291" t="s">
        <v>718</v>
      </c>
      <c r="D11" s="1292"/>
      <c r="E11" s="1292"/>
      <c r="F11" s="1292"/>
      <c r="G11" s="1292"/>
      <c r="H11" s="1292"/>
      <c r="I11" s="1292"/>
      <c r="J11" s="1293"/>
    </row>
    <row r="12" spans="1:11" ht="18.75" customHeight="1" x14ac:dyDescent="0.2">
      <c r="A12" s="587">
        <v>2</v>
      </c>
      <c r="B12" s="219" t="s">
        <v>387</v>
      </c>
      <c r="C12" s="1294"/>
      <c r="D12" s="1071"/>
      <c r="E12" s="1071"/>
      <c r="F12" s="1071"/>
      <c r="G12" s="1071"/>
      <c r="H12" s="1071"/>
      <c r="I12" s="1071"/>
      <c r="J12" s="1295"/>
    </row>
    <row r="13" spans="1:11" ht="18.75" customHeight="1" x14ac:dyDescent="0.2">
      <c r="A13" s="587">
        <v>3</v>
      </c>
      <c r="B13" s="219" t="s">
        <v>388</v>
      </c>
      <c r="C13" s="1294"/>
      <c r="D13" s="1071"/>
      <c r="E13" s="1071"/>
      <c r="F13" s="1071"/>
      <c r="G13" s="1071"/>
      <c r="H13" s="1071"/>
      <c r="I13" s="1071"/>
      <c r="J13" s="1295"/>
    </row>
    <row r="14" spans="1:11" ht="18.75" customHeight="1" x14ac:dyDescent="0.2">
      <c r="A14" s="587">
        <v>4</v>
      </c>
      <c r="B14" s="219" t="s">
        <v>389</v>
      </c>
      <c r="C14" s="1294"/>
      <c r="D14" s="1071"/>
      <c r="E14" s="1071"/>
      <c r="F14" s="1071"/>
      <c r="G14" s="1071"/>
      <c r="H14" s="1071"/>
      <c r="I14" s="1071"/>
      <c r="J14" s="1295"/>
    </row>
    <row r="15" spans="1:11" ht="18.75" customHeight="1" x14ac:dyDescent="0.2">
      <c r="A15" s="587">
        <v>5</v>
      </c>
      <c r="B15" s="221" t="s">
        <v>390</v>
      </c>
      <c r="C15" s="1294"/>
      <c r="D15" s="1071"/>
      <c r="E15" s="1071"/>
      <c r="F15" s="1071"/>
      <c r="G15" s="1071"/>
      <c r="H15" s="1071"/>
      <c r="I15" s="1071"/>
      <c r="J15" s="1295"/>
    </row>
    <row r="16" spans="1:11" ht="18.75" customHeight="1" x14ac:dyDescent="0.2">
      <c r="A16" s="587">
        <v>6</v>
      </c>
      <c r="B16" s="219" t="s">
        <v>391</v>
      </c>
      <c r="C16" s="1294"/>
      <c r="D16" s="1071"/>
      <c r="E16" s="1071"/>
      <c r="F16" s="1071"/>
      <c r="G16" s="1071"/>
      <c r="H16" s="1071"/>
      <c r="I16" s="1071"/>
      <c r="J16" s="1295"/>
    </row>
    <row r="17" spans="1:11" ht="18.75" customHeight="1" x14ac:dyDescent="0.2">
      <c r="A17" s="587">
        <v>7</v>
      </c>
      <c r="B17" s="221" t="s">
        <v>392</v>
      </c>
      <c r="C17" s="1294"/>
      <c r="D17" s="1071"/>
      <c r="E17" s="1071"/>
      <c r="F17" s="1071"/>
      <c r="G17" s="1071"/>
      <c r="H17" s="1071"/>
      <c r="I17" s="1071"/>
      <c r="J17" s="1295"/>
    </row>
    <row r="18" spans="1:11" ht="18.75" customHeight="1" x14ac:dyDescent="0.2">
      <c r="A18" s="587">
        <v>8</v>
      </c>
      <c r="B18" s="219" t="s">
        <v>393</v>
      </c>
      <c r="C18" s="1294"/>
      <c r="D18" s="1071"/>
      <c r="E18" s="1071"/>
      <c r="F18" s="1071"/>
      <c r="G18" s="1071"/>
      <c r="H18" s="1071"/>
      <c r="I18" s="1071"/>
      <c r="J18" s="1295"/>
    </row>
    <row r="19" spans="1:11" ht="18.75" customHeight="1" x14ac:dyDescent="0.2">
      <c r="A19" s="587">
        <v>9</v>
      </c>
      <c r="B19" s="219" t="s">
        <v>394</v>
      </c>
      <c r="C19" s="1294"/>
      <c r="D19" s="1071"/>
      <c r="E19" s="1071"/>
      <c r="F19" s="1071"/>
      <c r="G19" s="1071"/>
      <c r="H19" s="1071"/>
      <c r="I19" s="1071"/>
      <c r="J19" s="1295"/>
    </row>
    <row r="20" spans="1:11" ht="18.75" customHeight="1" x14ac:dyDescent="0.2">
      <c r="A20" s="587">
        <v>10</v>
      </c>
      <c r="B20" s="219" t="s">
        <v>395</v>
      </c>
      <c r="C20" s="1294"/>
      <c r="D20" s="1071"/>
      <c r="E20" s="1071"/>
      <c r="F20" s="1071"/>
      <c r="G20" s="1071"/>
      <c r="H20" s="1071"/>
      <c r="I20" s="1071"/>
      <c r="J20" s="1295"/>
    </row>
    <row r="21" spans="1:11" ht="18.75" customHeight="1" x14ac:dyDescent="0.2">
      <c r="A21" s="587">
        <v>11</v>
      </c>
      <c r="B21" s="219" t="s">
        <v>396</v>
      </c>
      <c r="C21" s="1294"/>
      <c r="D21" s="1071"/>
      <c r="E21" s="1071"/>
      <c r="F21" s="1071"/>
      <c r="G21" s="1071"/>
      <c r="H21" s="1071"/>
      <c r="I21" s="1071"/>
      <c r="J21" s="1295"/>
    </row>
    <row r="22" spans="1:11" ht="18.75" customHeight="1" x14ac:dyDescent="0.2">
      <c r="A22" s="587">
        <v>12</v>
      </c>
      <c r="B22" s="219" t="s">
        <v>397</v>
      </c>
      <c r="C22" s="1294"/>
      <c r="D22" s="1071"/>
      <c r="E22" s="1071"/>
      <c r="F22" s="1071"/>
      <c r="G22" s="1071"/>
      <c r="H22" s="1071"/>
      <c r="I22" s="1071"/>
      <c r="J22" s="1295"/>
    </row>
    <row r="23" spans="1:11" ht="18.75" customHeight="1" x14ac:dyDescent="0.2">
      <c r="A23" s="587">
        <v>13</v>
      </c>
      <c r="B23" s="219" t="s">
        <v>398</v>
      </c>
      <c r="C23" s="1296"/>
      <c r="D23" s="1297"/>
      <c r="E23" s="1297"/>
      <c r="F23" s="1297"/>
      <c r="G23" s="1297"/>
      <c r="H23" s="1297"/>
      <c r="I23" s="1297"/>
      <c r="J23" s="1298"/>
    </row>
    <row r="24" spans="1:11" ht="18.75" customHeight="1" x14ac:dyDescent="0.2">
      <c r="A24" s="227" t="s">
        <v>18</v>
      </c>
      <c r="B24" s="227"/>
      <c r="C24" s="289"/>
      <c r="D24" s="289"/>
      <c r="E24" s="289"/>
      <c r="F24" s="289"/>
      <c r="G24" s="289"/>
      <c r="H24" s="289"/>
      <c r="I24" s="289"/>
      <c r="J24" s="289"/>
    </row>
    <row r="25" spans="1:11" ht="18.75" customHeight="1" x14ac:dyDescent="0.2">
      <c r="A25" s="1280"/>
      <c r="B25" s="1280"/>
      <c r="C25" s="1280"/>
      <c r="D25" s="1280"/>
      <c r="E25" s="1280"/>
      <c r="F25" s="1280"/>
      <c r="G25" s="1280"/>
      <c r="H25" s="1280"/>
      <c r="I25" s="1280"/>
      <c r="J25" s="1280"/>
    </row>
    <row r="28" spans="1:11" ht="18.75" customHeight="1" x14ac:dyDescent="0.2">
      <c r="A28" s="114"/>
      <c r="B28" s="114"/>
      <c r="C28" s="114"/>
      <c r="D28" s="114"/>
      <c r="I28" s="1274" t="s">
        <v>12</v>
      </c>
      <c r="J28" s="1274"/>
    </row>
    <row r="29" spans="1:11" ht="12.75" x14ac:dyDescent="0.2">
      <c r="A29" s="114"/>
      <c r="B29" s="114"/>
      <c r="C29" s="114"/>
      <c r="D29" s="114"/>
      <c r="H29" s="1274" t="s">
        <v>13</v>
      </c>
      <c r="I29" s="1274"/>
      <c r="J29" s="1274"/>
    </row>
    <row r="30" spans="1:11" ht="18.75" customHeight="1" x14ac:dyDescent="0.2">
      <c r="A30" s="114"/>
      <c r="B30" s="114"/>
      <c r="C30" s="114"/>
      <c r="D30" s="114"/>
      <c r="H30" s="1274" t="s">
        <v>87</v>
      </c>
      <c r="I30" s="1274"/>
      <c r="J30" s="1274"/>
      <c r="K30" s="1274"/>
    </row>
    <row r="31" spans="1:11" ht="18.75" customHeight="1" x14ac:dyDescent="0.2">
      <c r="A31" s="114" t="s">
        <v>11</v>
      </c>
      <c r="C31" s="114"/>
      <c r="D31" s="114"/>
      <c r="J31" s="116" t="s">
        <v>84</v>
      </c>
    </row>
  </sheetData>
  <mergeCells count="15">
    <mergeCell ref="A25:J25"/>
    <mergeCell ref="A2:J2"/>
    <mergeCell ref="H30:K30"/>
    <mergeCell ref="A8:A9"/>
    <mergeCell ref="B8:B9"/>
    <mergeCell ref="C8:E8"/>
    <mergeCell ref="F8:I8"/>
    <mergeCell ref="J8:J9"/>
    <mergeCell ref="A6:J6"/>
    <mergeCell ref="A4:J4"/>
    <mergeCell ref="I7:J7"/>
    <mergeCell ref="I3:J3"/>
    <mergeCell ref="I28:J28"/>
    <mergeCell ref="H29:J29"/>
    <mergeCell ref="C11:J23"/>
  </mergeCells>
  <printOptions horizontalCentered="1"/>
  <pageMargins left="0.34" right="0.39" top="0.44" bottom="0.41" header="0.27" footer="0.25"/>
  <pageSetup paperSize="9" scale="8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5" tint="0.39997558519241921"/>
    <pageSetUpPr fitToPage="1"/>
  </sheetPr>
  <dimension ref="A1:L32"/>
  <sheetViews>
    <sheetView view="pageBreakPreview" topLeftCell="A16" zoomScale="90" zoomScaleSheetLayoutView="90" workbookViewId="0">
      <selection activeCell="H17" sqref="H17"/>
    </sheetView>
  </sheetViews>
  <sheetFormatPr defaultRowHeight="12.75" x14ac:dyDescent="0.2"/>
  <cols>
    <col min="1" max="1" width="5.28515625" style="114" customWidth="1"/>
    <col min="2" max="2" width="8.5703125" style="114" customWidth="1"/>
    <col min="3" max="3" width="32.140625" style="114" customWidth="1"/>
    <col min="4" max="4" width="16.140625" style="114" customWidth="1"/>
    <col min="5" max="5" width="15.7109375" style="114" customWidth="1"/>
    <col min="6" max="6" width="14.7109375" style="114" customWidth="1"/>
    <col min="7" max="7" width="13.7109375" style="114" customWidth="1"/>
    <col min="8" max="8" width="13.5703125" style="114" customWidth="1"/>
    <col min="9" max="9" width="16.7109375" style="114" customWidth="1"/>
    <col min="10" max="10" width="14.28515625" style="114" customWidth="1"/>
    <col min="11" max="11" width="17.42578125" style="114" customWidth="1"/>
    <col min="12" max="12" width="58" style="114" customWidth="1"/>
    <col min="13" max="16384" width="9.140625" style="114"/>
  </cols>
  <sheetData>
    <row r="1" spans="1:12" x14ac:dyDescent="0.2">
      <c r="A1" s="114" t="s">
        <v>10</v>
      </c>
      <c r="I1" s="1302"/>
      <c r="J1" s="1302"/>
      <c r="K1" s="116"/>
      <c r="L1" s="321" t="s">
        <v>296</v>
      </c>
    </row>
    <row r="2" spans="1:12" s="117" customFormat="1" ht="15.75" x14ac:dyDescent="0.25">
      <c r="A2" s="1208" t="s">
        <v>0</v>
      </c>
      <c r="B2" s="1208"/>
      <c r="C2" s="1208"/>
      <c r="D2" s="1208"/>
      <c r="E2" s="1208"/>
      <c r="F2" s="1208"/>
      <c r="G2" s="1208"/>
      <c r="H2" s="1208"/>
      <c r="I2" s="1208"/>
      <c r="J2" s="1208"/>
      <c r="K2" s="1208"/>
      <c r="L2" s="1208"/>
    </row>
    <row r="3" spans="1:12" s="117" customFormat="1" ht="20.25" customHeight="1" x14ac:dyDescent="0.25">
      <c r="A3" s="1208" t="s">
        <v>788</v>
      </c>
      <c r="B3" s="1208"/>
      <c r="C3" s="1208"/>
      <c r="D3" s="1208"/>
      <c r="E3" s="1208"/>
      <c r="F3" s="1208"/>
      <c r="G3" s="1208"/>
      <c r="H3" s="1208"/>
      <c r="I3" s="1208"/>
      <c r="J3" s="1208"/>
      <c r="K3" s="1208"/>
      <c r="L3" s="1208"/>
    </row>
    <row r="4" spans="1:12" s="117" customFormat="1" ht="20.25" x14ac:dyDescent="0.3">
      <c r="A4" s="1303" t="s">
        <v>647</v>
      </c>
      <c r="B4" s="1303"/>
      <c r="C4" s="1303"/>
      <c r="D4" s="1303"/>
      <c r="E4" s="1303"/>
      <c r="F4" s="1303"/>
      <c r="G4" s="1303"/>
      <c r="H4" s="1303"/>
      <c r="I4" s="1303"/>
      <c r="J4" s="1303"/>
      <c r="K4" s="1303"/>
      <c r="L4" s="1304"/>
    </row>
    <row r="6" spans="1:12" x14ac:dyDescent="0.2">
      <c r="B6" s="24" t="s">
        <v>456</v>
      </c>
      <c r="C6" s="24"/>
      <c r="D6" s="177"/>
      <c r="E6" s="177"/>
      <c r="F6" s="177"/>
      <c r="G6" s="177"/>
      <c r="H6" s="177"/>
      <c r="I6" s="177"/>
      <c r="J6" s="177"/>
      <c r="K6" s="1174" t="s">
        <v>795</v>
      </c>
      <c r="L6" s="1174"/>
    </row>
    <row r="7" spans="1:12" s="120" customFormat="1" ht="39.75" customHeight="1" x14ac:dyDescent="0.2">
      <c r="A7" s="121"/>
      <c r="B7" s="1305" t="s">
        <v>309</v>
      </c>
      <c r="C7" s="1305" t="s">
        <v>310</v>
      </c>
      <c r="D7" s="1307" t="s">
        <v>311</v>
      </c>
      <c r="E7" s="1308"/>
      <c r="F7" s="1308"/>
      <c r="G7" s="1309"/>
      <c r="H7" s="1307" t="s">
        <v>810</v>
      </c>
      <c r="I7" s="1308"/>
      <c r="J7" s="1308"/>
      <c r="K7" s="1309"/>
      <c r="L7" s="1305" t="s">
        <v>78</v>
      </c>
    </row>
    <row r="8" spans="1:12" s="120" customFormat="1" ht="15.75" x14ac:dyDescent="0.25">
      <c r="A8" s="122"/>
      <c r="B8" s="1306"/>
      <c r="C8" s="1306"/>
      <c r="D8" s="174" t="s">
        <v>312</v>
      </c>
      <c r="E8" s="174" t="s">
        <v>313</v>
      </c>
      <c r="F8" s="174" t="s">
        <v>314</v>
      </c>
      <c r="G8" s="174" t="s">
        <v>18</v>
      </c>
      <c r="H8" s="174" t="s">
        <v>312</v>
      </c>
      <c r="I8" s="174" t="s">
        <v>313</v>
      </c>
      <c r="J8" s="174" t="s">
        <v>314</v>
      </c>
      <c r="K8" s="174" t="s">
        <v>18</v>
      </c>
      <c r="L8" s="1306"/>
    </row>
    <row r="9" spans="1:12" s="120" customFormat="1" ht="15" x14ac:dyDescent="0.25">
      <c r="A9" s="122"/>
      <c r="B9" s="175" t="s">
        <v>287</v>
      </c>
      <c r="C9" s="175" t="s">
        <v>288</v>
      </c>
      <c r="D9" s="175" t="s">
        <v>289</v>
      </c>
      <c r="E9" s="175" t="s">
        <v>290</v>
      </c>
      <c r="F9" s="175" t="s">
        <v>291</v>
      </c>
      <c r="G9" s="175" t="s">
        <v>292</v>
      </c>
      <c r="H9" s="175" t="s">
        <v>293</v>
      </c>
      <c r="I9" s="175" t="s">
        <v>294</v>
      </c>
      <c r="J9" s="175" t="s">
        <v>315</v>
      </c>
      <c r="K9" s="175" t="s">
        <v>316</v>
      </c>
      <c r="L9" s="175" t="s">
        <v>317</v>
      </c>
    </row>
    <row r="10" spans="1:12" s="125" customFormat="1" ht="35.1" customHeight="1" x14ac:dyDescent="0.2">
      <c r="B10" s="176" t="s">
        <v>30</v>
      </c>
      <c r="C10" s="1299" t="s">
        <v>318</v>
      </c>
      <c r="D10" s="1300"/>
      <c r="E10" s="1300"/>
      <c r="F10" s="1300"/>
      <c r="G10" s="1300"/>
      <c r="H10" s="1300"/>
      <c r="I10" s="1300"/>
      <c r="J10" s="1300"/>
      <c r="K10" s="1300"/>
      <c r="L10" s="1301"/>
    </row>
    <row r="11" spans="1:12" s="126" customFormat="1" ht="35.1" customHeight="1" x14ac:dyDescent="0.2">
      <c r="B11" s="176">
        <v>1</v>
      </c>
      <c r="C11" s="272" t="s">
        <v>439</v>
      </c>
      <c r="D11" s="176">
        <v>1</v>
      </c>
      <c r="E11" s="176">
        <v>0</v>
      </c>
      <c r="F11" s="176">
        <v>0</v>
      </c>
      <c r="G11" s="176">
        <f>D11+E11+F11</f>
        <v>1</v>
      </c>
      <c r="H11" s="176">
        <v>0</v>
      </c>
      <c r="I11" s="176">
        <v>0</v>
      </c>
      <c r="J11" s="176">
        <v>0</v>
      </c>
      <c r="K11" s="176">
        <f>H11+I11+J11</f>
        <v>0</v>
      </c>
      <c r="L11" s="176"/>
    </row>
    <row r="12" spans="1:12" ht="35.1" customHeight="1" x14ac:dyDescent="0.2">
      <c r="A12" s="123"/>
      <c r="B12" s="176">
        <v>2</v>
      </c>
      <c r="C12" s="272" t="s">
        <v>440</v>
      </c>
      <c r="D12" s="176">
        <v>1</v>
      </c>
      <c r="E12" s="176">
        <v>0</v>
      </c>
      <c r="F12" s="176">
        <v>0</v>
      </c>
      <c r="G12" s="176">
        <v>1</v>
      </c>
      <c r="H12" s="176">
        <v>0</v>
      </c>
      <c r="I12" s="176">
        <v>0</v>
      </c>
      <c r="J12" s="176">
        <v>0</v>
      </c>
      <c r="K12" s="176">
        <f>H12+I12+J12</f>
        <v>0</v>
      </c>
      <c r="L12" s="272"/>
    </row>
    <row r="13" spans="1:12" ht="35.1" customHeight="1" x14ac:dyDescent="0.2">
      <c r="B13" s="176">
        <v>3</v>
      </c>
      <c r="C13" s="272" t="s">
        <v>441</v>
      </c>
      <c r="D13" s="176">
        <v>0</v>
      </c>
      <c r="E13" s="176">
        <v>0</v>
      </c>
      <c r="F13" s="176">
        <v>0</v>
      </c>
      <c r="G13" s="176">
        <f>D13+E13+F13</f>
        <v>0</v>
      </c>
      <c r="H13" s="176">
        <v>0</v>
      </c>
      <c r="I13" s="176">
        <v>0</v>
      </c>
      <c r="J13" s="176">
        <v>0</v>
      </c>
      <c r="K13" s="176">
        <f>H13+I13+J13</f>
        <v>0</v>
      </c>
      <c r="L13" s="176"/>
    </row>
    <row r="14" spans="1:12" s="86" customFormat="1" ht="35.1" customHeight="1" x14ac:dyDescent="0.2">
      <c r="B14" s="176">
        <v>4</v>
      </c>
      <c r="C14" s="272" t="s">
        <v>442</v>
      </c>
      <c r="D14" s="176">
        <v>0</v>
      </c>
      <c r="E14" s="176">
        <v>0</v>
      </c>
      <c r="F14" s="176">
        <v>0</v>
      </c>
      <c r="G14" s="176">
        <f>D14+E14+F14</f>
        <v>0</v>
      </c>
      <c r="H14" s="176">
        <v>0</v>
      </c>
      <c r="I14" s="176">
        <v>0</v>
      </c>
      <c r="J14" s="176">
        <v>0</v>
      </c>
      <c r="K14" s="176">
        <f>H14+I14+J14</f>
        <v>0</v>
      </c>
      <c r="L14" s="273"/>
    </row>
    <row r="15" spans="1:12" s="86" customFormat="1" ht="35.1" customHeight="1" x14ac:dyDescent="0.2">
      <c r="B15" s="176"/>
      <c r="C15" s="272" t="s">
        <v>18</v>
      </c>
      <c r="D15" s="176">
        <f>SUM(D11:D14)</f>
        <v>2</v>
      </c>
      <c r="E15" s="176">
        <f t="shared" ref="E15:K15" si="0">SUM(E11:E14)</f>
        <v>0</v>
      </c>
      <c r="F15" s="176">
        <f t="shared" si="0"/>
        <v>0</v>
      </c>
      <c r="G15" s="176">
        <f t="shared" si="0"/>
        <v>2</v>
      </c>
      <c r="H15" s="176">
        <f t="shared" si="0"/>
        <v>0</v>
      </c>
      <c r="I15" s="176">
        <f t="shared" si="0"/>
        <v>0</v>
      </c>
      <c r="J15" s="176">
        <f t="shared" si="0"/>
        <v>0</v>
      </c>
      <c r="K15" s="176">
        <f t="shared" si="0"/>
        <v>0</v>
      </c>
      <c r="L15" s="273"/>
    </row>
    <row r="16" spans="1:12" s="86" customFormat="1" ht="35.1" customHeight="1" x14ac:dyDescent="0.2">
      <c r="B16" s="176" t="s">
        <v>33</v>
      </c>
      <c r="C16" s="1299" t="s">
        <v>319</v>
      </c>
      <c r="D16" s="1300"/>
      <c r="E16" s="1300"/>
      <c r="F16" s="1300"/>
      <c r="G16" s="1300"/>
      <c r="H16" s="1300"/>
      <c r="I16" s="1300"/>
      <c r="J16" s="1300"/>
      <c r="K16" s="1300"/>
      <c r="L16" s="1301"/>
    </row>
    <row r="17" spans="1:12" s="86" customFormat="1" ht="35.1" customHeight="1" x14ac:dyDescent="0.2">
      <c r="A17" s="124" t="s">
        <v>308</v>
      </c>
      <c r="B17" s="272">
        <v>1</v>
      </c>
      <c r="C17" s="176" t="s">
        <v>443</v>
      </c>
      <c r="D17" s="272">
        <v>1</v>
      </c>
      <c r="E17" s="272">
        <v>13</v>
      </c>
      <c r="F17" s="272">
        <v>0</v>
      </c>
      <c r="G17" s="272">
        <f t="shared" ref="G17:G22" si="1">D17+E17+F17</f>
        <v>14</v>
      </c>
      <c r="H17" s="272">
        <v>0</v>
      </c>
      <c r="I17" s="272">
        <v>0</v>
      </c>
      <c r="J17" s="272">
        <v>95</v>
      </c>
      <c r="K17" s="272">
        <f t="shared" ref="K17:K22" si="2">H17+I17+J17</f>
        <v>95</v>
      </c>
      <c r="L17" s="176" t="s">
        <v>448</v>
      </c>
    </row>
    <row r="18" spans="1:12" ht="35.1" customHeight="1" x14ac:dyDescent="0.2">
      <c r="B18" s="176">
        <v>2</v>
      </c>
      <c r="C18" s="176" t="s">
        <v>444</v>
      </c>
      <c r="D18" s="176">
        <v>1</v>
      </c>
      <c r="E18" s="176">
        <v>0</v>
      </c>
      <c r="F18" s="176">
        <v>0</v>
      </c>
      <c r="G18" s="272">
        <f t="shared" si="1"/>
        <v>1</v>
      </c>
      <c r="H18" s="176">
        <v>0</v>
      </c>
      <c r="I18" s="176">
        <v>0</v>
      </c>
      <c r="J18" s="176">
        <v>0</v>
      </c>
      <c r="K18" s="272">
        <f t="shared" si="2"/>
        <v>0</v>
      </c>
      <c r="L18" s="176"/>
    </row>
    <row r="19" spans="1:12" ht="35.1" customHeight="1" x14ac:dyDescent="0.2">
      <c r="B19" s="176">
        <v>3</v>
      </c>
      <c r="C19" s="176" t="s">
        <v>445</v>
      </c>
      <c r="D19" s="176">
        <v>0</v>
      </c>
      <c r="E19" s="176">
        <v>0</v>
      </c>
      <c r="F19" s="176">
        <v>0</v>
      </c>
      <c r="G19" s="272">
        <f t="shared" si="1"/>
        <v>0</v>
      </c>
      <c r="H19" s="176">
        <v>0</v>
      </c>
      <c r="I19" s="176">
        <v>0</v>
      </c>
      <c r="J19" s="176">
        <v>0</v>
      </c>
      <c r="K19" s="272">
        <f t="shared" si="2"/>
        <v>0</v>
      </c>
      <c r="L19" s="176"/>
    </row>
    <row r="20" spans="1:12" ht="35.1" customHeight="1" x14ac:dyDescent="0.2">
      <c r="B20" s="176">
        <v>4</v>
      </c>
      <c r="C20" s="176" t="s">
        <v>446</v>
      </c>
      <c r="D20" s="176">
        <v>1</v>
      </c>
      <c r="E20" s="176">
        <v>0</v>
      </c>
      <c r="F20" s="176">
        <v>0</v>
      </c>
      <c r="G20" s="272">
        <f t="shared" si="1"/>
        <v>1</v>
      </c>
      <c r="H20" s="176">
        <v>0</v>
      </c>
      <c r="I20" s="176">
        <v>0</v>
      </c>
      <c r="J20" s="176">
        <v>0</v>
      </c>
      <c r="K20" s="272">
        <f t="shared" si="2"/>
        <v>0</v>
      </c>
      <c r="L20" s="176"/>
    </row>
    <row r="21" spans="1:12" ht="35.1" customHeight="1" x14ac:dyDescent="0.2">
      <c r="B21" s="176">
        <v>5</v>
      </c>
      <c r="C21" s="176" t="s">
        <v>447</v>
      </c>
      <c r="D21" s="176">
        <v>1</v>
      </c>
      <c r="E21" s="176" t="s">
        <v>593</v>
      </c>
      <c r="F21" s="176">
        <v>0</v>
      </c>
      <c r="G21" s="272">
        <v>12</v>
      </c>
      <c r="H21" s="176">
        <v>0</v>
      </c>
      <c r="I21" s="176">
        <v>0</v>
      </c>
      <c r="J21" s="176">
        <v>0</v>
      </c>
      <c r="K21" s="272">
        <f t="shared" si="2"/>
        <v>0</v>
      </c>
      <c r="L21" s="176"/>
    </row>
    <row r="22" spans="1:12" ht="35.1" customHeight="1" x14ac:dyDescent="0.2">
      <c r="B22" s="176">
        <v>6</v>
      </c>
      <c r="C22" s="176" t="s">
        <v>1131</v>
      </c>
      <c r="D22" s="176">
        <v>2</v>
      </c>
      <c r="E22" s="176">
        <v>13</v>
      </c>
      <c r="F22" s="176">
        <v>0</v>
      </c>
      <c r="G22" s="272">
        <f t="shared" si="1"/>
        <v>15</v>
      </c>
      <c r="H22" s="176">
        <v>0</v>
      </c>
      <c r="I22" s="176">
        <v>0</v>
      </c>
      <c r="J22" s="176">
        <v>0</v>
      </c>
      <c r="K22" s="272">
        <f t="shared" si="2"/>
        <v>0</v>
      </c>
      <c r="L22" s="176"/>
    </row>
    <row r="23" spans="1:12" ht="35.1" customHeight="1" x14ac:dyDescent="0.2">
      <c r="B23" s="176"/>
      <c r="C23" s="176"/>
      <c r="D23" s="176">
        <f t="shared" ref="D23:K23" si="3">SUM(D17:D22)</f>
        <v>6</v>
      </c>
      <c r="E23" s="176">
        <f t="shared" si="3"/>
        <v>26</v>
      </c>
      <c r="F23" s="176">
        <f t="shared" si="3"/>
        <v>0</v>
      </c>
      <c r="G23" s="176">
        <f t="shared" si="3"/>
        <v>43</v>
      </c>
      <c r="H23" s="176">
        <f t="shared" si="3"/>
        <v>0</v>
      </c>
      <c r="I23" s="176">
        <f t="shared" si="3"/>
        <v>0</v>
      </c>
      <c r="J23" s="176">
        <f t="shared" si="3"/>
        <v>95</v>
      </c>
      <c r="K23" s="176">
        <f t="shared" si="3"/>
        <v>95</v>
      </c>
      <c r="L23" s="176"/>
    </row>
    <row r="24" spans="1:12" ht="30" customHeight="1" x14ac:dyDescent="0.25">
      <c r="B24" s="378" t="s">
        <v>606</v>
      </c>
      <c r="C24" s="178"/>
      <c r="D24" s="178"/>
      <c r="E24" s="178"/>
      <c r="F24" s="178"/>
      <c r="G24" s="178"/>
      <c r="H24" s="178"/>
      <c r="I24" s="178"/>
      <c r="J24" s="178"/>
      <c r="K24" s="178"/>
      <c r="L24" s="179"/>
    </row>
    <row r="25" spans="1:12" ht="30" customHeight="1" x14ac:dyDescent="0.25">
      <c r="B25" s="378"/>
      <c r="C25" s="178"/>
      <c r="D25" s="178"/>
      <c r="E25" s="178"/>
      <c r="F25" s="178"/>
      <c r="G25" s="178"/>
      <c r="H25" s="178"/>
      <c r="I25" s="178"/>
      <c r="J25" s="178"/>
      <c r="K25" s="178"/>
      <c r="L25" s="179"/>
    </row>
    <row r="26" spans="1:12" ht="30" customHeight="1" x14ac:dyDescent="0.25">
      <c r="B26" s="378"/>
      <c r="C26" s="178"/>
      <c r="D26" s="178"/>
      <c r="E26" s="178"/>
      <c r="F26" s="178"/>
      <c r="G26" s="178"/>
      <c r="H26" s="178"/>
      <c r="I26" s="178"/>
      <c r="J26" s="178"/>
      <c r="K26" s="178"/>
      <c r="L26" s="179"/>
    </row>
    <row r="27" spans="1:12" ht="15.75" x14ac:dyDescent="0.25">
      <c r="B27" s="178"/>
      <c r="C27" s="178"/>
      <c r="D27" s="178"/>
      <c r="E27" s="178"/>
      <c r="F27" s="178"/>
      <c r="G27" s="178"/>
      <c r="H27" s="178"/>
      <c r="I27" s="178"/>
      <c r="J27" s="178"/>
      <c r="K27" s="178"/>
      <c r="L27" s="179"/>
    </row>
    <row r="28" spans="1:12" ht="15.75" x14ac:dyDescent="0.25">
      <c r="B28" s="178"/>
      <c r="C28" s="178"/>
      <c r="D28" s="178"/>
      <c r="E28" s="178"/>
      <c r="F28" s="178"/>
      <c r="G28" s="178"/>
      <c r="H28" s="178"/>
      <c r="I28" s="178"/>
      <c r="J28" s="178"/>
      <c r="K28" s="178"/>
      <c r="L28" s="179"/>
    </row>
    <row r="29" spans="1:12" ht="15.75" x14ac:dyDescent="0.2">
      <c r="J29" s="512"/>
      <c r="K29" s="512"/>
      <c r="L29" s="513" t="s">
        <v>12</v>
      </c>
    </row>
    <row r="30" spans="1:12" ht="15.75" customHeight="1" x14ac:dyDescent="0.2">
      <c r="J30" s="512"/>
      <c r="K30" s="512"/>
      <c r="L30" s="513" t="s">
        <v>13</v>
      </c>
    </row>
    <row r="31" spans="1:12" ht="15.75" customHeight="1" x14ac:dyDescent="0.2">
      <c r="B31" s="114" t="s">
        <v>594</v>
      </c>
      <c r="J31" s="512"/>
      <c r="K31" s="512"/>
      <c r="L31" s="513" t="s">
        <v>87</v>
      </c>
    </row>
    <row r="32" spans="1:12" ht="15" x14ac:dyDescent="0.25">
      <c r="L32" s="514" t="s">
        <v>627</v>
      </c>
    </row>
  </sheetData>
  <mergeCells count="12">
    <mergeCell ref="K6:L6"/>
    <mergeCell ref="C16:L16"/>
    <mergeCell ref="I1:J1"/>
    <mergeCell ref="A2:L2"/>
    <mergeCell ref="A3:L3"/>
    <mergeCell ref="A4:L4"/>
    <mergeCell ref="B7:B8"/>
    <mergeCell ref="C7:C8"/>
    <mergeCell ref="D7:G7"/>
    <mergeCell ref="H7:K7"/>
    <mergeCell ref="L7:L8"/>
    <mergeCell ref="C10:L10"/>
  </mergeCells>
  <printOptions horizontalCentered="1"/>
  <pageMargins left="0.46" right="0.48" top="0.39" bottom="0" header="0.78" footer="0.31496062992125984"/>
  <pageSetup paperSize="9" scale="6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FFFF00"/>
    <pageSetUpPr fitToPage="1"/>
  </sheetPr>
  <dimension ref="A1:N31"/>
  <sheetViews>
    <sheetView view="pageBreakPreview" topLeftCell="D8" zoomScaleSheetLayoutView="100" workbookViewId="0">
      <selection activeCell="G22" sqref="G22"/>
    </sheetView>
  </sheetViews>
  <sheetFormatPr defaultRowHeight="12.75" x14ac:dyDescent="0.2"/>
  <cols>
    <col min="1" max="1" width="8.28515625" customWidth="1"/>
    <col min="2" max="2" width="15.5703125" customWidth="1"/>
    <col min="3" max="3" width="17.28515625" customWidth="1"/>
    <col min="4" max="4" width="21" customWidth="1"/>
    <col min="5" max="5" width="21.140625" customWidth="1"/>
    <col min="6" max="6" width="20.7109375" customWidth="1"/>
    <col min="7" max="7" width="20.7109375" style="788" customWidth="1"/>
    <col min="8" max="8" width="22" customWidth="1"/>
  </cols>
  <sheetData>
    <row r="1" spans="1:8" ht="18" x14ac:dyDescent="0.35">
      <c r="A1" s="1310" t="s">
        <v>0</v>
      </c>
      <c r="B1" s="1310"/>
      <c r="C1" s="1310"/>
      <c r="D1" s="1310"/>
      <c r="E1" s="1310"/>
      <c r="F1" s="1310"/>
      <c r="G1" s="1310"/>
      <c r="H1" s="110" t="s">
        <v>730</v>
      </c>
    </row>
    <row r="2" spans="1:8" ht="21" x14ac:dyDescent="0.35">
      <c r="A2" s="1312" t="s">
        <v>788</v>
      </c>
      <c r="B2" s="1312"/>
      <c r="C2" s="1312"/>
      <c r="D2" s="1312"/>
      <c r="E2" s="1312"/>
      <c r="F2" s="1312"/>
      <c r="G2" s="1312"/>
      <c r="H2" s="1312"/>
    </row>
    <row r="3" spans="1:8" ht="15" x14ac:dyDescent="0.3">
      <c r="A3" s="111"/>
      <c r="B3" s="111"/>
    </row>
    <row r="4" spans="1:8" ht="18" customHeight="1" x14ac:dyDescent="0.35">
      <c r="A4" s="1313" t="s">
        <v>731</v>
      </c>
      <c r="B4" s="1313"/>
      <c r="C4" s="1313"/>
      <c r="D4" s="1313"/>
      <c r="E4" s="1313"/>
      <c r="F4" s="1313"/>
      <c r="G4" s="1313"/>
      <c r="H4" s="1313"/>
    </row>
    <row r="5" spans="1:8" ht="15" x14ac:dyDescent="0.3">
      <c r="A5" s="112" t="s">
        <v>595</v>
      </c>
      <c r="B5" s="112"/>
    </row>
    <row r="6" spans="1:8" ht="15" x14ac:dyDescent="0.3">
      <c r="A6" s="112"/>
      <c r="B6" s="112"/>
      <c r="F6" s="1163" t="s">
        <v>795</v>
      </c>
      <c r="G6" s="1163"/>
      <c r="H6" s="1163"/>
    </row>
    <row r="7" spans="1:8" ht="78" customHeight="1" x14ac:dyDescent="0.2">
      <c r="A7" s="658" t="s">
        <v>2</v>
      </c>
      <c r="B7" s="659" t="s">
        <v>3</v>
      </c>
      <c r="C7" s="660" t="s">
        <v>732</v>
      </c>
      <c r="D7" s="660" t="s">
        <v>733</v>
      </c>
      <c r="E7" s="660" t="s">
        <v>734</v>
      </c>
      <c r="F7" s="660" t="s">
        <v>735</v>
      </c>
      <c r="G7" s="660" t="s">
        <v>1065</v>
      </c>
      <c r="H7" s="660" t="s">
        <v>835</v>
      </c>
    </row>
    <row r="8" spans="1:8" s="110" customFormat="1" ht="15" x14ac:dyDescent="0.25">
      <c r="A8" s="299" t="s">
        <v>287</v>
      </c>
      <c r="B8" s="299" t="s">
        <v>288</v>
      </c>
      <c r="C8" s="299" t="s">
        <v>289</v>
      </c>
      <c r="D8" s="299" t="s">
        <v>290</v>
      </c>
      <c r="E8" s="299" t="s">
        <v>291</v>
      </c>
      <c r="F8" s="299" t="s">
        <v>292</v>
      </c>
      <c r="G8" s="299" t="s">
        <v>293</v>
      </c>
      <c r="H8" s="299" t="s">
        <v>294</v>
      </c>
    </row>
    <row r="9" spans="1:8" s="110" customFormat="1" ht="17.25" customHeight="1" x14ac:dyDescent="0.25">
      <c r="A9" s="861">
        <v>1</v>
      </c>
      <c r="B9" s="661" t="s">
        <v>386</v>
      </c>
      <c r="C9" s="854">
        <v>1797</v>
      </c>
      <c r="D9" s="855">
        <v>178</v>
      </c>
      <c r="E9" s="855">
        <v>87</v>
      </c>
      <c r="F9" s="855">
        <v>0</v>
      </c>
      <c r="G9" s="921">
        <v>58</v>
      </c>
      <c r="H9" s="855"/>
    </row>
    <row r="10" spans="1:8" s="110" customFormat="1" ht="17.25" customHeight="1" x14ac:dyDescent="0.25">
      <c r="A10" s="861">
        <v>2</v>
      </c>
      <c r="B10" s="661" t="s">
        <v>387</v>
      </c>
      <c r="C10" s="854">
        <v>796</v>
      </c>
      <c r="D10" s="855">
        <v>15</v>
      </c>
      <c r="E10" s="855">
        <v>657</v>
      </c>
      <c r="F10" s="855">
        <v>0</v>
      </c>
      <c r="G10" s="921">
        <v>15</v>
      </c>
      <c r="H10" s="855"/>
    </row>
    <row r="11" spans="1:8" s="110" customFormat="1" ht="17.25" customHeight="1" x14ac:dyDescent="0.25">
      <c r="A11" s="861">
        <v>3</v>
      </c>
      <c r="B11" s="661" t="s">
        <v>388</v>
      </c>
      <c r="C11" s="854">
        <v>1406</v>
      </c>
      <c r="D11" s="855">
        <v>88</v>
      </c>
      <c r="E11" s="855">
        <v>67</v>
      </c>
      <c r="F11" s="855">
        <v>30</v>
      </c>
      <c r="G11" s="921">
        <v>30</v>
      </c>
      <c r="H11" s="855"/>
    </row>
    <row r="12" spans="1:8" s="110" customFormat="1" ht="17.25" customHeight="1" x14ac:dyDescent="0.25">
      <c r="A12" s="861">
        <v>4</v>
      </c>
      <c r="B12" s="661" t="s">
        <v>389</v>
      </c>
      <c r="C12" s="854">
        <v>688</v>
      </c>
      <c r="D12" s="855">
        <v>49</v>
      </c>
      <c r="E12" s="855">
        <v>32</v>
      </c>
      <c r="F12" s="855">
        <v>0</v>
      </c>
      <c r="G12" s="921">
        <v>24</v>
      </c>
      <c r="H12" s="855"/>
    </row>
    <row r="13" spans="1:8" s="110" customFormat="1" ht="17.25" customHeight="1" x14ac:dyDescent="0.25">
      <c r="A13" s="861">
        <v>5</v>
      </c>
      <c r="B13" s="661" t="s">
        <v>390</v>
      </c>
      <c r="C13" s="854">
        <v>1443</v>
      </c>
      <c r="D13" s="855">
        <v>82</v>
      </c>
      <c r="E13" s="855">
        <v>13</v>
      </c>
      <c r="F13" s="855">
        <v>64</v>
      </c>
      <c r="G13" s="921">
        <v>82</v>
      </c>
      <c r="H13" s="855"/>
    </row>
    <row r="14" spans="1:8" s="110" customFormat="1" ht="17.25" customHeight="1" x14ac:dyDescent="0.25">
      <c r="A14" s="861">
        <v>6</v>
      </c>
      <c r="B14" s="661" t="s">
        <v>391</v>
      </c>
      <c r="C14" s="854">
        <v>1082</v>
      </c>
      <c r="D14" s="855">
        <v>168</v>
      </c>
      <c r="E14" s="855">
        <v>104</v>
      </c>
      <c r="F14" s="855">
        <v>0</v>
      </c>
      <c r="G14" s="921">
        <v>104</v>
      </c>
      <c r="H14" s="855"/>
    </row>
    <row r="15" spans="1:8" s="110" customFormat="1" ht="17.25" customHeight="1" x14ac:dyDescent="0.25">
      <c r="A15" s="861">
        <v>7</v>
      </c>
      <c r="B15" s="661" t="s">
        <v>392</v>
      </c>
      <c r="C15" s="856">
        <v>1406</v>
      </c>
      <c r="D15" s="855">
        <v>232</v>
      </c>
      <c r="E15" s="855">
        <v>28</v>
      </c>
      <c r="F15" s="855">
        <v>0</v>
      </c>
      <c r="G15" s="921">
        <v>40</v>
      </c>
      <c r="H15" s="855"/>
    </row>
    <row r="16" spans="1:8" s="110" customFormat="1" ht="17.25" customHeight="1" x14ac:dyDescent="0.25">
      <c r="A16" s="861">
        <v>8</v>
      </c>
      <c r="B16" s="661" t="s">
        <v>393</v>
      </c>
      <c r="C16" s="857">
        <v>2146</v>
      </c>
      <c r="D16" s="855">
        <v>255</v>
      </c>
      <c r="E16" s="855">
        <v>38</v>
      </c>
      <c r="F16" s="855">
        <v>67</v>
      </c>
      <c r="G16" s="921">
        <v>76</v>
      </c>
      <c r="H16" s="855"/>
    </row>
    <row r="17" spans="1:14" ht="17.25" customHeight="1" x14ac:dyDescent="0.25">
      <c r="A17" s="861">
        <v>9</v>
      </c>
      <c r="B17" s="635" t="s">
        <v>394</v>
      </c>
      <c r="C17" s="858">
        <v>1532</v>
      </c>
      <c r="D17" s="857">
        <v>25</v>
      </c>
      <c r="E17" s="857">
        <v>156</v>
      </c>
      <c r="F17" s="857">
        <v>0</v>
      </c>
      <c r="G17" s="859">
        <v>25</v>
      </c>
      <c r="H17" s="857"/>
    </row>
    <row r="18" spans="1:14" ht="17.25" customHeight="1" x14ac:dyDescent="0.25">
      <c r="A18" s="861">
        <v>10</v>
      </c>
      <c r="B18" s="953" t="s">
        <v>395</v>
      </c>
      <c r="C18" s="858">
        <v>797</v>
      </c>
      <c r="D18" s="857">
        <v>20</v>
      </c>
      <c r="E18" s="859">
        <v>13</v>
      </c>
      <c r="F18" s="857">
        <v>0</v>
      </c>
      <c r="G18" s="859">
        <v>20</v>
      </c>
      <c r="H18" s="857"/>
    </row>
    <row r="19" spans="1:14" ht="17.25" customHeight="1" x14ac:dyDescent="0.25">
      <c r="A19" s="861">
        <v>11</v>
      </c>
      <c r="B19" s="635" t="s">
        <v>396</v>
      </c>
      <c r="C19" s="858">
        <v>1921</v>
      </c>
      <c r="D19" s="857">
        <v>248</v>
      </c>
      <c r="E19" s="857">
        <v>46</v>
      </c>
      <c r="F19" s="857">
        <v>46</v>
      </c>
      <c r="G19" s="859">
        <v>29</v>
      </c>
      <c r="H19" s="857"/>
    </row>
    <row r="20" spans="1:14" ht="17.25" customHeight="1" x14ac:dyDescent="0.25">
      <c r="A20" s="861">
        <v>12</v>
      </c>
      <c r="B20" s="635" t="s">
        <v>397</v>
      </c>
      <c r="C20" s="858">
        <v>1276</v>
      </c>
      <c r="D20" s="857">
        <v>524</v>
      </c>
      <c r="E20" s="857">
        <v>36</v>
      </c>
      <c r="F20" s="857">
        <v>0</v>
      </c>
      <c r="G20" s="857">
        <v>35</v>
      </c>
      <c r="H20" s="857"/>
    </row>
    <row r="21" spans="1:14" ht="17.25" customHeight="1" x14ac:dyDescent="0.25">
      <c r="A21" s="861">
        <v>13</v>
      </c>
      <c r="B21" s="635" t="s">
        <v>398</v>
      </c>
      <c r="C21" s="858">
        <v>1054</v>
      </c>
      <c r="D21" s="857">
        <v>181</v>
      </c>
      <c r="E21" s="857">
        <v>4</v>
      </c>
      <c r="F21" s="857">
        <v>0</v>
      </c>
      <c r="G21" s="857">
        <v>20</v>
      </c>
      <c r="H21" s="857"/>
    </row>
    <row r="22" spans="1:14" ht="17.25" customHeight="1" x14ac:dyDescent="0.2">
      <c r="A22" s="635" t="s">
        <v>18</v>
      </c>
      <c r="B22" s="635"/>
      <c r="C22" s="860">
        <f>SUM(C9:C21)</f>
        <v>17344</v>
      </c>
      <c r="D22" s="860">
        <f t="shared" ref="D22:H22" si="0">SUM(D9:D21)</f>
        <v>2065</v>
      </c>
      <c r="E22" s="860">
        <f t="shared" si="0"/>
        <v>1281</v>
      </c>
      <c r="F22" s="860">
        <f t="shared" si="0"/>
        <v>207</v>
      </c>
      <c r="G22" s="860">
        <f t="shared" ref="G22" si="1">SUM(G9:G21)</f>
        <v>558</v>
      </c>
      <c r="H22" s="860">
        <f t="shared" si="0"/>
        <v>0</v>
      </c>
    </row>
    <row r="24" spans="1:14" x14ac:dyDescent="0.2">
      <c r="A24" s="113"/>
    </row>
    <row r="27" spans="1:14" ht="15" customHeight="1" x14ac:dyDescent="0.2">
      <c r="A27" s="654"/>
      <c r="B27" s="654"/>
      <c r="C27" s="654"/>
      <c r="D27" s="654"/>
      <c r="E27" s="654"/>
      <c r="F27" s="1169" t="s">
        <v>12</v>
      </c>
      <c r="G27" s="1169"/>
      <c r="H27" s="1169"/>
      <c r="I27" s="655"/>
      <c r="J27" s="655"/>
    </row>
    <row r="28" spans="1:14" ht="15" customHeight="1" x14ac:dyDescent="0.2">
      <c r="A28" s="654"/>
      <c r="B28" s="654"/>
      <c r="C28" s="654"/>
      <c r="D28" s="654"/>
      <c r="E28" s="654"/>
      <c r="F28" s="1169" t="s">
        <v>13</v>
      </c>
      <c r="G28" s="1169"/>
      <c r="H28" s="1169"/>
      <c r="I28" s="655"/>
      <c r="J28" s="655"/>
    </row>
    <row r="29" spans="1:14" ht="15" customHeight="1" x14ac:dyDescent="0.2">
      <c r="A29" s="654"/>
      <c r="B29" s="654"/>
      <c r="C29" s="654"/>
      <c r="D29" s="654"/>
      <c r="E29" s="654"/>
      <c r="F29" s="1169" t="s">
        <v>87</v>
      </c>
      <c r="G29" s="1169"/>
      <c r="H29" s="1169"/>
      <c r="I29" s="655"/>
      <c r="J29" s="655"/>
    </row>
    <row r="30" spans="1:14" x14ac:dyDescent="0.2">
      <c r="A30" s="654" t="s">
        <v>11</v>
      </c>
      <c r="C30" s="654"/>
      <c r="D30" s="654"/>
      <c r="E30" s="654"/>
      <c r="F30" s="1311" t="s">
        <v>84</v>
      </c>
      <c r="G30" s="1311"/>
      <c r="H30" s="1311"/>
      <c r="I30" s="654"/>
      <c r="J30" s="654"/>
    </row>
    <row r="31" spans="1:14" x14ac:dyDescent="0.2">
      <c r="A31" s="654"/>
      <c r="B31" s="654"/>
      <c r="C31" s="654"/>
      <c r="D31" s="654"/>
      <c r="E31" s="654"/>
      <c r="F31" s="654"/>
      <c r="G31" s="654"/>
      <c r="H31" s="654"/>
      <c r="I31" s="654"/>
      <c r="J31" s="654"/>
      <c r="K31" s="654"/>
      <c r="L31" s="654"/>
      <c r="M31" s="654"/>
      <c r="N31" s="654"/>
    </row>
  </sheetData>
  <mergeCells count="8">
    <mergeCell ref="A1:G1"/>
    <mergeCell ref="F29:H29"/>
    <mergeCell ref="F30:H30"/>
    <mergeCell ref="A2:H2"/>
    <mergeCell ref="A4:H4"/>
    <mergeCell ref="F6:H6"/>
    <mergeCell ref="F27:H27"/>
    <mergeCell ref="F28:H28"/>
  </mergeCells>
  <printOptions horizontalCentered="1"/>
  <pageMargins left="0.70866141732283472" right="0.70866141732283472" top="0.23622047244094491" bottom="0" header="0.31496062992125984" footer="0.31496062992125984"/>
  <pageSetup paperSize="9" scale="91"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5" tint="0.39997558519241921"/>
    <pageSetUpPr fitToPage="1"/>
  </sheetPr>
  <dimension ref="A1:M30"/>
  <sheetViews>
    <sheetView view="pageBreakPreview" topLeftCell="A6" zoomScaleNormal="100" zoomScaleSheetLayoutView="100" workbookViewId="0">
      <selection activeCell="J12" sqref="J12:J14"/>
    </sheetView>
  </sheetViews>
  <sheetFormatPr defaultRowHeight="12.75" x14ac:dyDescent="0.2"/>
  <cols>
    <col min="1" max="1" width="8.28515625" style="643" customWidth="1"/>
    <col min="2" max="2" width="15.5703125" style="643" customWidth="1"/>
    <col min="3" max="3" width="14.7109375" style="643" customWidth="1"/>
    <col min="4" max="4" width="21" style="643" customWidth="1"/>
    <col min="5" max="5" width="15.7109375" style="643" customWidth="1"/>
    <col min="6" max="6" width="20.7109375" style="643" customWidth="1"/>
    <col min="7" max="7" width="23.28515625" style="643" customWidth="1"/>
    <col min="8" max="8" width="18.7109375" style="643" customWidth="1"/>
    <col min="9" max="256" width="9.140625" style="643"/>
    <col min="257" max="257" width="8.28515625" style="643" customWidth="1"/>
    <col min="258" max="258" width="15.5703125" style="643" customWidth="1"/>
    <col min="259" max="259" width="14.7109375" style="643" customWidth="1"/>
    <col min="260" max="260" width="21" style="643" customWidth="1"/>
    <col min="261" max="261" width="15.7109375" style="643" customWidth="1"/>
    <col min="262" max="262" width="16.28515625" style="643" customWidth="1"/>
    <col min="263" max="263" width="22" style="643" customWidth="1"/>
    <col min="264" max="264" width="17.42578125" style="643" customWidth="1"/>
    <col min="265" max="512" width="9.140625" style="643"/>
    <col min="513" max="513" width="8.28515625" style="643" customWidth="1"/>
    <col min="514" max="514" width="15.5703125" style="643" customWidth="1"/>
    <col min="515" max="515" width="14.7109375" style="643" customWidth="1"/>
    <col min="516" max="516" width="21" style="643" customWidth="1"/>
    <col min="517" max="517" width="15.7109375" style="643" customWidth="1"/>
    <col min="518" max="518" width="16.28515625" style="643" customWidth="1"/>
    <col min="519" max="519" width="22" style="643" customWidth="1"/>
    <col min="520" max="520" width="17.42578125" style="643" customWidth="1"/>
    <col min="521" max="768" width="9.140625" style="643"/>
    <col min="769" max="769" width="8.28515625" style="643" customWidth="1"/>
    <col min="770" max="770" width="15.5703125" style="643" customWidth="1"/>
    <col min="771" max="771" width="14.7109375" style="643" customWidth="1"/>
    <col min="772" max="772" width="21" style="643" customWidth="1"/>
    <col min="773" max="773" width="15.7109375" style="643" customWidth="1"/>
    <col min="774" max="774" width="16.28515625" style="643" customWidth="1"/>
    <col min="775" max="775" width="22" style="643" customWidth="1"/>
    <col min="776" max="776" width="17.42578125" style="643" customWidth="1"/>
    <col min="777" max="1024" width="9.140625" style="643"/>
    <col min="1025" max="1025" width="8.28515625" style="643" customWidth="1"/>
    <col min="1026" max="1026" width="15.5703125" style="643" customWidth="1"/>
    <col min="1027" max="1027" width="14.7109375" style="643" customWidth="1"/>
    <col min="1028" max="1028" width="21" style="643" customWidth="1"/>
    <col min="1029" max="1029" width="15.7109375" style="643" customWidth="1"/>
    <col min="1030" max="1030" width="16.28515625" style="643" customWidth="1"/>
    <col min="1031" max="1031" width="22" style="643" customWidth="1"/>
    <col min="1032" max="1032" width="17.42578125" style="643" customWidth="1"/>
    <col min="1033" max="1280" width="9.140625" style="643"/>
    <col min="1281" max="1281" width="8.28515625" style="643" customWidth="1"/>
    <col min="1282" max="1282" width="15.5703125" style="643" customWidth="1"/>
    <col min="1283" max="1283" width="14.7109375" style="643" customWidth="1"/>
    <col min="1284" max="1284" width="21" style="643" customWidth="1"/>
    <col min="1285" max="1285" width="15.7109375" style="643" customWidth="1"/>
    <col min="1286" max="1286" width="16.28515625" style="643" customWidth="1"/>
    <col min="1287" max="1287" width="22" style="643" customWidth="1"/>
    <col min="1288" max="1288" width="17.42578125" style="643" customWidth="1"/>
    <col min="1289" max="1536" width="9.140625" style="643"/>
    <col min="1537" max="1537" width="8.28515625" style="643" customWidth="1"/>
    <col min="1538" max="1538" width="15.5703125" style="643" customWidth="1"/>
    <col min="1539" max="1539" width="14.7109375" style="643" customWidth="1"/>
    <col min="1540" max="1540" width="21" style="643" customWidth="1"/>
    <col min="1541" max="1541" width="15.7109375" style="643" customWidth="1"/>
    <col min="1542" max="1542" width="16.28515625" style="643" customWidth="1"/>
    <col min="1543" max="1543" width="22" style="643" customWidth="1"/>
    <col min="1544" max="1544" width="17.42578125" style="643" customWidth="1"/>
    <col min="1545" max="1792" width="9.140625" style="643"/>
    <col min="1793" max="1793" width="8.28515625" style="643" customWidth="1"/>
    <col min="1794" max="1794" width="15.5703125" style="643" customWidth="1"/>
    <col min="1795" max="1795" width="14.7109375" style="643" customWidth="1"/>
    <col min="1796" max="1796" width="21" style="643" customWidth="1"/>
    <col min="1797" max="1797" width="15.7109375" style="643" customWidth="1"/>
    <col min="1798" max="1798" width="16.28515625" style="643" customWidth="1"/>
    <col min="1799" max="1799" width="22" style="643" customWidth="1"/>
    <col min="1800" max="1800" width="17.42578125" style="643" customWidth="1"/>
    <col min="1801" max="2048" width="9.140625" style="643"/>
    <col min="2049" max="2049" width="8.28515625" style="643" customWidth="1"/>
    <col min="2050" max="2050" width="15.5703125" style="643" customWidth="1"/>
    <col min="2051" max="2051" width="14.7109375" style="643" customWidth="1"/>
    <col min="2052" max="2052" width="21" style="643" customWidth="1"/>
    <col min="2053" max="2053" width="15.7109375" style="643" customWidth="1"/>
    <col min="2054" max="2054" width="16.28515625" style="643" customWidth="1"/>
    <col min="2055" max="2055" width="22" style="643" customWidth="1"/>
    <col min="2056" max="2056" width="17.42578125" style="643" customWidth="1"/>
    <col min="2057" max="2304" width="9.140625" style="643"/>
    <col min="2305" max="2305" width="8.28515625" style="643" customWidth="1"/>
    <col min="2306" max="2306" width="15.5703125" style="643" customWidth="1"/>
    <col min="2307" max="2307" width="14.7109375" style="643" customWidth="1"/>
    <col min="2308" max="2308" width="21" style="643" customWidth="1"/>
    <col min="2309" max="2309" width="15.7109375" style="643" customWidth="1"/>
    <col min="2310" max="2310" width="16.28515625" style="643" customWidth="1"/>
    <col min="2311" max="2311" width="22" style="643" customWidth="1"/>
    <col min="2312" max="2312" width="17.42578125" style="643" customWidth="1"/>
    <col min="2313" max="2560" width="9.140625" style="643"/>
    <col min="2561" max="2561" width="8.28515625" style="643" customWidth="1"/>
    <col min="2562" max="2562" width="15.5703125" style="643" customWidth="1"/>
    <col min="2563" max="2563" width="14.7109375" style="643" customWidth="1"/>
    <col min="2564" max="2564" width="21" style="643" customWidth="1"/>
    <col min="2565" max="2565" width="15.7109375" style="643" customWidth="1"/>
    <col min="2566" max="2566" width="16.28515625" style="643" customWidth="1"/>
    <col min="2567" max="2567" width="22" style="643" customWidth="1"/>
    <col min="2568" max="2568" width="17.42578125" style="643" customWidth="1"/>
    <col min="2569" max="2816" width="9.140625" style="643"/>
    <col min="2817" max="2817" width="8.28515625" style="643" customWidth="1"/>
    <col min="2818" max="2818" width="15.5703125" style="643" customWidth="1"/>
    <col min="2819" max="2819" width="14.7109375" style="643" customWidth="1"/>
    <col min="2820" max="2820" width="21" style="643" customWidth="1"/>
    <col min="2821" max="2821" width="15.7109375" style="643" customWidth="1"/>
    <col min="2822" max="2822" width="16.28515625" style="643" customWidth="1"/>
    <col min="2823" max="2823" width="22" style="643" customWidth="1"/>
    <col min="2824" max="2824" width="17.42578125" style="643" customWidth="1"/>
    <col min="2825" max="3072" width="9.140625" style="643"/>
    <col min="3073" max="3073" width="8.28515625" style="643" customWidth="1"/>
    <col min="3074" max="3074" width="15.5703125" style="643" customWidth="1"/>
    <col min="3075" max="3075" width="14.7109375" style="643" customWidth="1"/>
    <col min="3076" max="3076" width="21" style="643" customWidth="1"/>
    <col min="3077" max="3077" width="15.7109375" style="643" customWidth="1"/>
    <col min="3078" max="3078" width="16.28515625" style="643" customWidth="1"/>
    <col min="3079" max="3079" width="22" style="643" customWidth="1"/>
    <col min="3080" max="3080" width="17.42578125" style="643" customWidth="1"/>
    <col min="3081" max="3328" width="9.140625" style="643"/>
    <col min="3329" max="3329" width="8.28515625" style="643" customWidth="1"/>
    <col min="3330" max="3330" width="15.5703125" style="643" customWidth="1"/>
    <col min="3331" max="3331" width="14.7109375" style="643" customWidth="1"/>
    <col min="3332" max="3332" width="21" style="643" customWidth="1"/>
    <col min="3333" max="3333" width="15.7109375" style="643" customWidth="1"/>
    <col min="3334" max="3334" width="16.28515625" style="643" customWidth="1"/>
    <col min="3335" max="3335" width="22" style="643" customWidth="1"/>
    <col min="3336" max="3336" width="17.42578125" style="643" customWidth="1"/>
    <col min="3337" max="3584" width="9.140625" style="643"/>
    <col min="3585" max="3585" width="8.28515625" style="643" customWidth="1"/>
    <col min="3586" max="3586" width="15.5703125" style="643" customWidth="1"/>
    <col min="3587" max="3587" width="14.7109375" style="643" customWidth="1"/>
    <col min="3588" max="3588" width="21" style="643" customWidth="1"/>
    <col min="3589" max="3589" width="15.7109375" style="643" customWidth="1"/>
    <col min="3590" max="3590" width="16.28515625" style="643" customWidth="1"/>
    <col min="3591" max="3591" width="22" style="643" customWidth="1"/>
    <col min="3592" max="3592" width="17.42578125" style="643" customWidth="1"/>
    <col min="3593" max="3840" width="9.140625" style="643"/>
    <col min="3841" max="3841" width="8.28515625" style="643" customWidth="1"/>
    <col min="3842" max="3842" width="15.5703125" style="643" customWidth="1"/>
    <col min="3843" max="3843" width="14.7109375" style="643" customWidth="1"/>
    <col min="3844" max="3844" width="21" style="643" customWidth="1"/>
    <col min="3845" max="3845" width="15.7109375" style="643" customWidth="1"/>
    <col min="3846" max="3846" width="16.28515625" style="643" customWidth="1"/>
    <col min="3847" max="3847" width="22" style="643" customWidth="1"/>
    <col min="3848" max="3848" width="17.42578125" style="643" customWidth="1"/>
    <col min="3849" max="4096" width="9.140625" style="643"/>
    <col min="4097" max="4097" width="8.28515625" style="643" customWidth="1"/>
    <col min="4098" max="4098" width="15.5703125" style="643" customWidth="1"/>
    <col min="4099" max="4099" width="14.7109375" style="643" customWidth="1"/>
    <col min="4100" max="4100" width="21" style="643" customWidth="1"/>
    <col min="4101" max="4101" width="15.7109375" style="643" customWidth="1"/>
    <col min="4102" max="4102" width="16.28515625" style="643" customWidth="1"/>
    <col min="4103" max="4103" width="22" style="643" customWidth="1"/>
    <col min="4104" max="4104" width="17.42578125" style="643" customWidth="1"/>
    <col min="4105" max="4352" width="9.140625" style="643"/>
    <col min="4353" max="4353" width="8.28515625" style="643" customWidth="1"/>
    <col min="4354" max="4354" width="15.5703125" style="643" customWidth="1"/>
    <col min="4355" max="4355" width="14.7109375" style="643" customWidth="1"/>
    <col min="4356" max="4356" width="21" style="643" customWidth="1"/>
    <col min="4357" max="4357" width="15.7109375" style="643" customWidth="1"/>
    <col min="4358" max="4358" width="16.28515625" style="643" customWidth="1"/>
    <col min="4359" max="4359" width="22" style="643" customWidth="1"/>
    <col min="4360" max="4360" width="17.42578125" style="643" customWidth="1"/>
    <col min="4361" max="4608" width="9.140625" style="643"/>
    <col min="4609" max="4609" width="8.28515625" style="643" customWidth="1"/>
    <col min="4610" max="4610" width="15.5703125" style="643" customWidth="1"/>
    <col min="4611" max="4611" width="14.7109375" style="643" customWidth="1"/>
    <col min="4612" max="4612" width="21" style="643" customWidth="1"/>
    <col min="4613" max="4613" width="15.7109375" style="643" customWidth="1"/>
    <col min="4614" max="4614" width="16.28515625" style="643" customWidth="1"/>
    <col min="4615" max="4615" width="22" style="643" customWidth="1"/>
    <col min="4616" max="4616" width="17.42578125" style="643" customWidth="1"/>
    <col min="4617" max="4864" width="9.140625" style="643"/>
    <col min="4865" max="4865" width="8.28515625" style="643" customWidth="1"/>
    <col min="4866" max="4866" width="15.5703125" style="643" customWidth="1"/>
    <col min="4867" max="4867" width="14.7109375" style="643" customWidth="1"/>
    <col min="4868" max="4868" width="21" style="643" customWidth="1"/>
    <col min="4869" max="4869" width="15.7109375" style="643" customWidth="1"/>
    <col min="4870" max="4870" width="16.28515625" style="643" customWidth="1"/>
    <col min="4871" max="4871" width="22" style="643" customWidth="1"/>
    <col min="4872" max="4872" width="17.42578125" style="643" customWidth="1"/>
    <col min="4873" max="5120" width="9.140625" style="643"/>
    <col min="5121" max="5121" width="8.28515625" style="643" customWidth="1"/>
    <col min="5122" max="5122" width="15.5703125" style="643" customWidth="1"/>
    <col min="5123" max="5123" width="14.7109375" style="643" customWidth="1"/>
    <col min="5124" max="5124" width="21" style="643" customWidth="1"/>
    <col min="5125" max="5125" width="15.7109375" style="643" customWidth="1"/>
    <col min="5126" max="5126" width="16.28515625" style="643" customWidth="1"/>
    <col min="5127" max="5127" width="22" style="643" customWidth="1"/>
    <col min="5128" max="5128" width="17.42578125" style="643" customWidth="1"/>
    <col min="5129" max="5376" width="9.140625" style="643"/>
    <col min="5377" max="5377" width="8.28515625" style="643" customWidth="1"/>
    <col min="5378" max="5378" width="15.5703125" style="643" customWidth="1"/>
    <col min="5379" max="5379" width="14.7109375" style="643" customWidth="1"/>
    <col min="5380" max="5380" width="21" style="643" customWidth="1"/>
    <col min="5381" max="5381" width="15.7109375" style="643" customWidth="1"/>
    <col min="5382" max="5382" width="16.28515625" style="643" customWidth="1"/>
    <col min="5383" max="5383" width="22" style="643" customWidth="1"/>
    <col min="5384" max="5384" width="17.42578125" style="643" customWidth="1"/>
    <col min="5385" max="5632" width="9.140625" style="643"/>
    <col min="5633" max="5633" width="8.28515625" style="643" customWidth="1"/>
    <col min="5634" max="5634" width="15.5703125" style="643" customWidth="1"/>
    <col min="5635" max="5635" width="14.7109375" style="643" customWidth="1"/>
    <col min="5636" max="5636" width="21" style="643" customWidth="1"/>
    <col min="5637" max="5637" width="15.7109375" style="643" customWidth="1"/>
    <col min="5638" max="5638" width="16.28515625" style="643" customWidth="1"/>
    <col min="5639" max="5639" width="22" style="643" customWidth="1"/>
    <col min="5640" max="5640" width="17.42578125" style="643" customWidth="1"/>
    <col min="5641" max="5888" width="9.140625" style="643"/>
    <col min="5889" max="5889" width="8.28515625" style="643" customWidth="1"/>
    <col min="5890" max="5890" width="15.5703125" style="643" customWidth="1"/>
    <col min="5891" max="5891" width="14.7109375" style="643" customWidth="1"/>
    <col min="5892" max="5892" width="21" style="643" customWidth="1"/>
    <col min="5893" max="5893" width="15.7109375" style="643" customWidth="1"/>
    <col min="5894" max="5894" width="16.28515625" style="643" customWidth="1"/>
    <col min="5895" max="5895" width="22" style="643" customWidth="1"/>
    <col min="5896" max="5896" width="17.42578125" style="643" customWidth="1"/>
    <col min="5897" max="6144" width="9.140625" style="643"/>
    <col min="6145" max="6145" width="8.28515625" style="643" customWidth="1"/>
    <col min="6146" max="6146" width="15.5703125" style="643" customWidth="1"/>
    <col min="6147" max="6147" width="14.7109375" style="643" customWidth="1"/>
    <col min="6148" max="6148" width="21" style="643" customWidth="1"/>
    <col min="6149" max="6149" width="15.7109375" style="643" customWidth="1"/>
    <col min="6150" max="6150" width="16.28515625" style="643" customWidth="1"/>
    <col min="6151" max="6151" width="22" style="643" customWidth="1"/>
    <col min="6152" max="6152" width="17.42578125" style="643" customWidth="1"/>
    <col min="6153" max="6400" width="9.140625" style="643"/>
    <col min="6401" max="6401" width="8.28515625" style="643" customWidth="1"/>
    <col min="6402" max="6402" width="15.5703125" style="643" customWidth="1"/>
    <col min="6403" max="6403" width="14.7109375" style="643" customWidth="1"/>
    <col min="6404" max="6404" width="21" style="643" customWidth="1"/>
    <col min="6405" max="6405" width="15.7109375" style="643" customWidth="1"/>
    <col min="6406" max="6406" width="16.28515625" style="643" customWidth="1"/>
    <col min="6407" max="6407" width="22" style="643" customWidth="1"/>
    <col min="6408" max="6408" width="17.42578125" style="643" customWidth="1"/>
    <col min="6409" max="6656" width="9.140625" style="643"/>
    <col min="6657" max="6657" width="8.28515625" style="643" customWidth="1"/>
    <col min="6658" max="6658" width="15.5703125" style="643" customWidth="1"/>
    <col min="6659" max="6659" width="14.7109375" style="643" customWidth="1"/>
    <col min="6660" max="6660" width="21" style="643" customWidth="1"/>
    <col min="6661" max="6661" width="15.7109375" style="643" customWidth="1"/>
    <col min="6662" max="6662" width="16.28515625" style="643" customWidth="1"/>
    <col min="6663" max="6663" width="22" style="643" customWidth="1"/>
    <col min="6664" max="6664" width="17.42578125" style="643" customWidth="1"/>
    <col min="6665" max="6912" width="9.140625" style="643"/>
    <col min="6913" max="6913" width="8.28515625" style="643" customWidth="1"/>
    <col min="6914" max="6914" width="15.5703125" style="643" customWidth="1"/>
    <col min="6915" max="6915" width="14.7109375" style="643" customWidth="1"/>
    <col min="6916" max="6916" width="21" style="643" customWidth="1"/>
    <col min="6917" max="6917" width="15.7109375" style="643" customWidth="1"/>
    <col min="6918" max="6918" width="16.28515625" style="643" customWidth="1"/>
    <col min="6919" max="6919" width="22" style="643" customWidth="1"/>
    <col min="6920" max="6920" width="17.42578125" style="643" customWidth="1"/>
    <col min="6921" max="7168" width="9.140625" style="643"/>
    <col min="7169" max="7169" width="8.28515625" style="643" customWidth="1"/>
    <col min="7170" max="7170" width="15.5703125" style="643" customWidth="1"/>
    <col min="7171" max="7171" width="14.7109375" style="643" customWidth="1"/>
    <col min="7172" max="7172" width="21" style="643" customWidth="1"/>
    <col min="7173" max="7173" width="15.7109375" style="643" customWidth="1"/>
    <col min="7174" max="7174" width="16.28515625" style="643" customWidth="1"/>
    <col min="7175" max="7175" width="22" style="643" customWidth="1"/>
    <col min="7176" max="7176" width="17.42578125" style="643" customWidth="1"/>
    <col min="7177" max="7424" width="9.140625" style="643"/>
    <col min="7425" max="7425" width="8.28515625" style="643" customWidth="1"/>
    <col min="7426" max="7426" width="15.5703125" style="643" customWidth="1"/>
    <col min="7427" max="7427" width="14.7109375" style="643" customWidth="1"/>
    <col min="7428" max="7428" width="21" style="643" customWidth="1"/>
    <col min="7429" max="7429" width="15.7109375" style="643" customWidth="1"/>
    <col min="7430" max="7430" width="16.28515625" style="643" customWidth="1"/>
    <col min="7431" max="7431" width="22" style="643" customWidth="1"/>
    <col min="7432" max="7432" width="17.42578125" style="643" customWidth="1"/>
    <col min="7433" max="7680" width="9.140625" style="643"/>
    <col min="7681" max="7681" width="8.28515625" style="643" customWidth="1"/>
    <col min="7682" max="7682" width="15.5703125" style="643" customWidth="1"/>
    <col min="7683" max="7683" width="14.7109375" style="643" customWidth="1"/>
    <col min="7684" max="7684" width="21" style="643" customWidth="1"/>
    <col min="7685" max="7685" width="15.7109375" style="643" customWidth="1"/>
    <col min="7686" max="7686" width="16.28515625" style="643" customWidth="1"/>
    <col min="7687" max="7687" width="22" style="643" customWidth="1"/>
    <col min="7688" max="7688" width="17.42578125" style="643" customWidth="1"/>
    <col min="7689" max="7936" width="9.140625" style="643"/>
    <col min="7937" max="7937" width="8.28515625" style="643" customWidth="1"/>
    <col min="7938" max="7938" width="15.5703125" style="643" customWidth="1"/>
    <col min="7939" max="7939" width="14.7109375" style="643" customWidth="1"/>
    <col min="7940" max="7940" width="21" style="643" customWidth="1"/>
    <col min="7941" max="7941" width="15.7109375" style="643" customWidth="1"/>
    <col min="7942" max="7942" width="16.28515625" style="643" customWidth="1"/>
    <col min="7943" max="7943" width="22" style="643" customWidth="1"/>
    <col min="7944" max="7944" width="17.42578125" style="643" customWidth="1"/>
    <col min="7945" max="8192" width="9.140625" style="643"/>
    <col min="8193" max="8193" width="8.28515625" style="643" customWidth="1"/>
    <col min="8194" max="8194" width="15.5703125" style="643" customWidth="1"/>
    <col min="8195" max="8195" width="14.7109375" style="643" customWidth="1"/>
    <col min="8196" max="8196" width="21" style="643" customWidth="1"/>
    <col min="8197" max="8197" width="15.7109375" style="643" customWidth="1"/>
    <col min="8198" max="8198" width="16.28515625" style="643" customWidth="1"/>
    <col min="8199" max="8199" width="22" style="643" customWidth="1"/>
    <col min="8200" max="8200" width="17.42578125" style="643" customWidth="1"/>
    <col min="8201" max="8448" width="9.140625" style="643"/>
    <col min="8449" max="8449" width="8.28515625" style="643" customWidth="1"/>
    <col min="8450" max="8450" width="15.5703125" style="643" customWidth="1"/>
    <col min="8451" max="8451" width="14.7109375" style="643" customWidth="1"/>
    <col min="8452" max="8452" width="21" style="643" customWidth="1"/>
    <col min="8453" max="8453" width="15.7109375" style="643" customWidth="1"/>
    <col min="8454" max="8454" width="16.28515625" style="643" customWidth="1"/>
    <col min="8455" max="8455" width="22" style="643" customWidth="1"/>
    <col min="8456" max="8456" width="17.42578125" style="643" customWidth="1"/>
    <col min="8457" max="8704" width="9.140625" style="643"/>
    <col min="8705" max="8705" width="8.28515625" style="643" customWidth="1"/>
    <col min="8706" max="8706" width="15.5703125" style="643" customWidth="1"/>
    <col min="8707" max="8707" width="14.7109375" style="643" customWidth="1"/>
    <col min="8708" max="8708" width="21" style="643" customWidth="1"/>
    <col min="8709" max="8709" width="15.7109375" style="643" customWidth="1"/>
    <col min="8710" max="8710" width="16.28515625" style="643" customWidth="1"/>
    <col min="8711" max="8711" width="22" style="643" customWidth="1"/>
    <col min="8712" max="8712" width="17.42578125" style="643" customWidth="1"/>
    <col min="8713" max="8960" width="9.140625" style="643"/>
    <col min="8961" max="8961" width="8.28515625" style="643" customWidth="1"/>
    <col min="8962" max="8962" width="15.5703125" style="643" customWidth="1"/>
    <col min="8963" max="8963" width="14.7109375" style="643" customWidth="1"/>
    <col min="8964" max="8964" width="21" style="643" customWidth="1"/>
    <col min="8965" max="8965" width="15.7109375" style="643" customWidth="1"/>
    <col min="8966" max="8966" width="16.28515625" style="643" customWidth="1"/>
    <col min="8967" max="8967" width="22" style="643" customWidth="1"/>
    <col min="8968" max="8968" width="17.42578125" style="643" customWidth="1"/>
    <col min="8969" max="9216" width="9.140625" style="643"/>
    <col min="9217" max="9217" width="8.28515625" style="643" customWidth="1"/>
    <col min="9218" max="9218" width="15.5703125" style="643" customWidth="1"/>
    <col min="9219" max="9219" width="14.7109375" style="643" customWidth="1"/>
    <col min="9220" max="9220" width="21" style="643" customWidth="1"/>
    <col min="9221" max="9221" width="15.7109375" style="643" customWidth="1"/>
    <col min="9222" max="9222" width="16.28515625" style="643" customWidth="1"/>
    <col min="9223" max="9223" width="22" style="643" customWidth="1"/>
    <col min="9224" max="9224" width="17.42578125" style="643" customWidth="1"/>
    <col min="9225" max="9472" width="9.140625" style="643"/>
    <col min="9473" max="9473" width="8.28515625" style="643" customWidth="1"/>
    <col min="9474" max="9474" width="15.5703125" style="643" customWidth="1"/>
    <col min="9475" max="9475" width="14.7109375" style="643" customWidth="1"/>
    <col min="9476" max="9476" width="21" style="643" customWidth="1"/>
    <col min="9477" max="9477" width="15.7109375" style="643" customWidth="1"/>
    <col min="9478" max="9478" width="16.28515625" style="643" customWidth="1"/>
    <col min="9479" max="9479" width="22" style="643" customWidth="1"/>
    <col min="9480" max="9480" width="17.42578125" style="643" customWidth="1"/>
    <col min="9481" max="9728" width="9.140625" style="643"/>
    <col min="9729" max="9729" width="8.28515625" style="643" customWidth="1"/>
    <col min="9730" max="9730" width="15.5703125" style="643" customWidth="1"/>
    <col min="9731" max="9731" width="14.7109375" style="643" customWidth="1"/>
    <col min="9732" max="9732" width="21" style="643" customWidth="1"/>
    <col min="9733" max="9733" width="15.7109375" style="643" customWidth="1"/>
    <col min="9734" max="9734" width="16.28515625" style="643" customWidth="1"/>
    <col min="9735" max="9735" width="22" style="643" customWidth="1"/>
    <col min="9736" max="9736" width="17.42578125" style="643" customWidth="1"/>
    <col min="9737" max="9984" width="9.140625" style="643"/>
    <col min="9985" max="9985" width="8.28515625" style="643" customWidth="1"/>
    <col min="9986" max="9986" width="15.5703125" style="643" customWidth="1"/>
    <col min="9987" max="9987" width="14.7109375" style="643" customWidth="1"/>
    <col min="9988" max="9988" width="21" style="643" customWidth="1"/>
    <col min="9989" max="9989" width="15.7109375" style="643" customWidth="1"/>
    <col min="9990" max="9990" width="16.28515625" style="643" customWidth="1"/>
    <col min="9991" max="9991" width="22" style="643" customWidth="1"/>
    <col min="9992" max="9992" width="17.42578125" style="643" customWidth="1"/>
    <col min="9993" max="10240" width="9.140625" style="643"/>
    <col min="10241" max="10241" width="8.28515625" style="643" customWidth="1"/>
    <col min="10242" max="10242" width="15.5703125" style="643" customWidth="1"/>
    <col min="10243" max="10243" width="14.7109375" style="643" customWidth="1"/>
    <col min="10244" max="10244" width="21" style="643" customWidth="1"/>
    <col min="10245" max="10245" width="15.7109375" style="643" customWidth="1"/>
    <col min="10246" max="10246" width="16.28515625" style="643" customWidth="1"/>
    <col min="10247" max="10247" width="22" style="643" customWidth="1"/>
    <col min="10248" max="10248" width="17.42578125" style="643" customWidth="1"/>
    <col min="10249" max="10496" width="9.140625" style="643"/>
    <col min="10497" max="10497" width="8.28515625" style="643" customWidth="1"/>
    <col min="10498" max="10498" width="15.5703125" style="643" customWidth="1"/>
    <col min="10499" max="10499" width="14.7109375" style="643" customWidth="1"/>
    <col min="10500" max="10500" width="21" style="643" customWidth="1"/>
    <col min="10501" max="10501" width="15.7109375" style="643" customWidth="1"/>
    <col min="10502" max="10502" width="16.28515625" style="643" customWidth="1"/>
    <col min="10503" max="10503" width="22" style="643" customWidth="1"/>
    <col min="10504" max="10504" width="17.42578125" style="643" customWidth="1"/>
    <col min="10505" max="10752" width="9.140625" style="643"/>
    <col min="10753" max="10753" width="8.28515625" style="643" customWidth="1"/>
    <col min="10754" max="10754" width="15.5703125" style="643" customWidth="1"/>
    <col min="10755" max="10755" width="14.7109375" style="643" customWidth="1"/>
    <col min="10756" max="10756" width="21" style="643" customWidth="1"/>
    <col min="10757" max="10757" width="15.7109375" style="643" customWidth="1"/>
    <col min="10758" max="10758" width="16.28515625" style="643" customWidth="1"/>
    <col min="10759" max="10759" width="22" style="643" customWidth="1"/>
    <col min="10760" max="10760" width="17.42578125" style="643" customWidth="1"/>
    <col min="10761" max="11008" width="9.140625" style="643"/>
    <col min="11009" max="11009" width="8.28515625" style="643" customWidth="1"/>
    <col min="11010" max="11010" width="15.5703125" style="643" customWidth="1"/>
    <col min="11011" max="11011" width="14.7109375" style="643" customWidth="1"/>
    <col min="11012" max="11012" width="21" style="643" customWidth="1"/>
    <col min="11013" max="11013" width="15.7109375" style="643" customWidth="1"/>
    <col min="11014" max="11014" width="16.28515625" style="643" customWidth="1"/>
    <col min="11015" max="11015" width="22" style="643" customWidth="1"/>
    <col min="11016" max="11016" width="17.42578125" style="643" customWidth="1"/>
    <col min="11017" max="11264" width="9.140625" style="643"/>
    <col min="11265" max="11265" width="8.28515625" style="643" customWidth="1"/>
    <col min="11266" max="11266" width="15.5703125" style="643" customWidth="1"/>
    <col min="11267" max="11267" width="14.7109375" style="643" customWidth="1"/>
    <col min="11268" max="11268" width="21" style="643" customWidth="1"/>
    <col min="11269" max="11269" width="15.7109375" style="643" customWidth="1"/>
    <col min="11270" max="11270" width="16.28515625" style="643" customWidth="1"/>
    <col min="11271" max="11271" width="22" style="643" customWidth="1"/>
    <col min="11272" max="11272" width="17.42578125" style="643" customWidth="1"/>
    <col min="11273" max="11520" width="9.140625" style="643"/>
    <col min="11521" max="11521" width="8.28515625" style="643" customWidth="1"/>
    <col min="11522" max="11522" width="15.5703125" style="643" customWidth="1"/>
    <col min="11523" max="11523" width="14.7109375" style="643" customWidth="1"/>
    <col min="11524" max="11524" width="21" style="643" customWidth="1"/>
    <col min="11525" max="11525" width="15.7109375" style="643" customWidth="1"/>
    <col min="11526" max="11526" width="16.28515625" style="643" customWidth="1"/>
    <col min="11527" max="11527" width="22" style="643" customWidth="1"/>
    <col min="11528" max="11528" width="17.42578125" style="643" customWidth="1"/>
    <col min="11529" max="11776" width="9.140625" style="643"/>
    <col min="11777" max="11777" width="8.28515625" style="643" customWidth="1"/>
    <col min="11778" max="11778" width="15.5703125" style="643" customWidth="1"/>
    <col min="11779" max="11779" width="14.7109375" style="643" customWidth="1"/>
    <col min="11780" max="11780" width="21" style="643" customWidth="1"/>
    <col min="11781" max="11781" width="15.7109375" style="643" customWidth="1"/>
    <col min="11782" max="11782" width="16.28515625" style="643" customWidth="1"/>
    <col min="11783" max="11783" width="22" style="643" customWidth="1"/>
    <col min="11784" max="11784" width="17.42578125" style="643" customWidth="1"/>
    <col min="11785" max="12032" width="9.140625" style="643"/>
    <col min="12033" max="12033" width="8.28515625" style="643" customWidth="1"/>
    <col min="12034" max="12034" width="15.5703125" style="643" customWidth="1"/>
    <col min="12035" max="12035" width="14.7109375" style="643" customWidth="1"/>
    <col min="12036" max="12036" width="21" style="643" customWidth="1"/>
    <col min="12037" max="12037" width="15.7109375" style="643" customWidth="1"/>
    <col min="12038" max="12038" width="16.28515625" style="643" customWidth="1"/>
    <col min="12039" max="12039" width="22" style="643" customWidth="1"/>
    <col min="12040" max="12040" width="17.42578125" style="643" customWidth="1"/>
    <col min="12041" max="12288" width="9.140625" style="643"/>
    <col min="12289" max="12289" width="8.28515625" style="643" customWidth="1"/>
    <col min="12290" max="12290" width="15.5703125" style="643" customWidth="1"/>
    <col min="12291" max="12291" width="14.7109375" style="643" customWidth="1"/>
    <col min="12292" max="12292" width="21" style="643" customWidth="1"/>
    <col min="12293" max="12293" width="15.7109375" style="643" customWidth="1"/>
    <col min="12294" max="12294" width="16.28515625" style="643" customWidth="1"/>
    <col min="12295" max="12295" width="22" style="643" customWidth="1"/>
    <col min="12296" max="12296" width="17.42578125" style="643" customWidth="1"/>
    <col min="12297" max="12544" width="9.140625" style="643"/>
    <col min="12545" max="12545" width="8.28515625" style="643" customWidth="1"/>
    <col min="12546" max="12546" width="15.5703125" style="643" customWidth="1"/>
    <col min="12547" max="12547" width="14.7109375" style="643" customWidth="1"/>
    <col min="12548" max="12548" width="21" style="643" customWidth="1"/>
    <col min="12549" max="12549" width="15.7109375" style="643" customWidth="1"/>
    <col min="12550" max="12550" width="16.28515625" style="643" customWidth="1"/>
    <col min="12551" max="12551" width="22" style="643" customWidth="1"/>
    <col min="12552" max="12552" width="17.42578125" style="643" customWidth="1"/>
    <col min="12553" max="12800" width="9.140625" style="643"/>
    <col min="12801" max="12801" width="8.28515625" style="643" customWidth="1"/>
    <col min="12802" max="12802" width="15.5703125" style="643" customWidth="1"/>
    <col min="12803" max="12803" width="14.7109375" style="643" customWidth="1"/>
    <col min="12804" max="12804" width="21" style="643" customWidth="1"/>
    <col min="12805" max="12805" width="15.7109375" style="643" customWidth="1"/>
    <col min="12806" max="12806" width="16.28515625" style="643" customWidth="1"/>
    <col min="12807" max="12807" width="22" style="643" customWidth="1"/>
    <col min="12808" max="12808" width="17.42578125" style="643" customWidth="1"/>
    <col min="12809" max="13056" width="9.140625" style="643"/>
    <col min="13057" max="13057" width="8.28515625" style="643" customWidth="1"/>
    <col min="13058" max="13058" width="15.5703125" style="643" customWidth="1"/>
    <col min="13059" max="13059" width="14.7109375" style="643" customWidth="1"/>
    <col min="13060" max="13060" width="21" style="643" customWidth="1"/>
    <col min="13061" max="13061" width="15.7109375" style="643" customWidth="1"/>
    <col min="13062" max="13062" width="16.28515625" style="643" customWidth="1"/>
    <col min="13063" max="13063" width="22" style="643" customWidth="1"/>
    <col min="13064" max="13064" width="17.42578125" style="643" customWidth="1"/>
    <col min="13065" max="13312" width="9.140625" style="643"/>
    <col min="13313" max="13313" width="8.28515625" style="643" customWidth="1"/>
    <col min="13314" max="13314" width="15.5703125" style="643" customWidth="1"/>
    <col min="13315" max="13315" width="14.7109375" style="643" customWidth="1"/>
    <col min="13316" max="13316" width="21" style="643" customWidth="1"/>
    <col min="13317" max="13317" width="15.7109375" style="643" customWidth="1"/>
    <col min="13318" max="13318" width="16.28515625" style="643" customWidth="1"/>
    <col min="13319" max="13319" width="22" style="643" customWidth="1"/>
    <col min="13320" max="13320" width="17.42578125" style="643" customWidth="1"/>
    <col min="13321" max="13568" width="9.140625" style="643"/>
    <col min="13569" max="13569" width="8.28515625" style="643" customWidth="1"/>
    <col min="13570" max="13570" width="15.5703125" style="643" customWidth="1"/>
    <col min="13571" max="13571" width="14.7109375" style="643" customWidth="1"/>
    <col min="13572" max="13572" width="21" style="643" customWidth="1"/>
    <col min="13573" max="13573" width="15.7109375" style="643" customWidth="1"/>
    <col min="13574" max="13574" width="16.28515625" style="643" customWidth="1"/>
    <col min="13575" max="13575" width="22" style="643" customWidth="1"/>
    <col min="13576" max="13576" width="17.42578125" style="643" customWidth="1"/>
    <col min="13577" max="13824" width="9.140625" style="643"/>
    <col min="13825" max="13825" width="8.28515625" style="643" customWidth="1"/>
    <col min="13826" max="13826" width="15.5703125" style="643" customWidth="1"/>
    <col min="13827" max="13827" width="14.7109375" style="643" customWidth="1"/>
    <col min="13828" max="13828" width="21" style="643" customWidth="1"/>
    <col min="13829" max="13829" width="15.7109375" style="643" customWidth="1"/>
    <col min="13830" max="13830" width="16.28515625" style="643" customWidth="1"/>
    <col min="13831" max="13831" width="22" style="643" customWidth="1"/>
    <col min="13832" max="13832" width="17.42578125" style="643" customWidth="1"/>
    <col min="13833" max="14080" width="9.140625" style="643"/>
    <col min="14081" max="14081" width="8.28515625" style="643" customWidth="1"/>
    <col min="14082" max="14082" width="15.5703125" style="643" customWidth="1"/>
    <col min="14083" max="14083" width="14.7109375" style="643" customWidth="1"/>
    <col min="14084" max="14084" width="21" style="643" customWidth="1"/>
    <col min="14085" max="14085" width="15.7109375" style="643" customWidth="1"/>
    <col min="14086" max="14086" width="16.28515625" style="643" customWidth="1"/>
    <col min="14087" max="14087" width="22" style="643" customWidth="1"/>
    <col min="14088" max="14088" width="17.42578125" style="643" customWidth="1"/>
    <col min="14089" max="14336" width="9.140625" style="643"/>
    <col min="14337" max="14337" width="8.28515625" style="643" customWidth="1"/>
    <col min="14338" max="14338" width="15.5703125" style="643" customWidth="1"/>
    <col min="14339" max="14339" width="14.7109375" style="643" customWidth="1"/>
    <col min="14340" max="14340" width="21" style="643" customWidth="1"/>
    <col min="14341" max="14341" width="15.7109375" style="643" customWidth="1"/>
    <col min="14342" max="14342" width="16.28515625" style="643" customWidth="1"/>
    <col min="14343" max="14343" width="22" style="643" customWidth="1"/>
    <col min="14344" max="14344" width="17.42578125" style="643" customWidth="1"/>
    <col min="14345" max="14592" width="9.140625" style="643"/>
    <col min="14593" max="14593" width="8.28515625" style="643" customWidth="1"/>
    <col min="14594" max="14594" width="15.5703125" style="643" customWidth="1"/>
    <col min="14595" max="14595" width="14.7109375" style="643" customWidth="1"/>
    <col min="14596" max="14596" width="21" style="643" customWidth="1"/>
    <col min="14597" max="14597" width="15.7109375" style="643" customWidth="1"/>
    <col min="14598" max="14598" width="16.28515625" style="643" customWidth="1"/>
    <col min="14599" max="14599" width="22" style="643" customWidth="1"/>
    <col min="14600" max="14600" width="17.42578125" style="643" customWidth="1"/>
    <col min="14601" max="14848" width="9.140625" style="643"/>
    <col min="14849" max="14849" width="8.28515625" style="643" customWidth="1"/>
    <col min="14850" max="14850" width="15.5703125" style="643" customWidth="1"/>
    <col min="14851" max="14851" width="14.7109375" style="643" customWidth="1"/>
    <col min="14852" max="14852" width="21" style="643" customWidth="1"/>
    <col min="14853" max="14853" width="15.7109375" style="643" customWidth="1"/>
    <col min="14854" max="14854" width="16.28515625" style="643" customWidth="1"/>
    <col min="14855" max="14855" width="22" style="643" customWidth="1"/>
    <col min="14856" max="14856" width="17.42578125" style="643" customWidth="1"/>
    <col min="14857" max="15104" width="9.140625" style="643"/>
    <col min="15105" max="15105" width="8.28515625" style="643" customWidth="1"/>
    <col min="15106" max="15106" width="15.5703125" style="643" customWidth="1"/>
    <col min="15107" max="15107" width="14.7109375" style="643" customWidth="1"/>
    <col min="15108" max="15108" width="21" style="643" customWidth="1"/>
    <col min="15109" max="15109" width="15.7109375" style="643" customWidth="1"/>
    <col min="15110" max="15110" width="16.28515625" style="643" customWidth="1"/>
    <col min="15111" max="15111" width="22" style="643" customWidth="1"/>
    <col min="15112" max="15112" width="17.42578125" style="643" customWidth="1"/>
    <col min="15113" max="15360" width="9.140625" style="643"/>
    <col min="15361" max="15361" width="8.28515625" style="643" customWidth="1"/>
    <col min="15362" max="15362" width="15.5703125" style="643" customWidth="1"/>
    <col min="15363" max="15363" width="14.7109375" style="643" customWidth="1"/>
    <col min="15364" max="15364" width="21" style="643" customWidth="1"/>
    <col min="15365" max="15365" width="15.7109375" style="643" customWidth="1"/>
    <col min="15366" max="15366" width="16.28515625" style="643" customWidth="1"/>
    <col min="15367" max="15367" width="22" style="643" customWidth="1"/>
    <col min="15368" max="15368" width="17.42578125" style="643" customWidth="1"/>
    <col min="15369" max="15616" width="9.140625" style="643"/>
    <col min="15617" max="15617" width="8.28515625" style="643" customWidth="1"/>
    <col min="15618" max="15618" width="15.5703125" style="643" customWidth="1"/>
    <col min="15619" max="15619" width="14.7109375" style="643" customWidth="1"/>
    <col min="15620" max="15620" width="21" style="643" customWidth="1"/>
    <col min="15621" max="15621" width="15.7109375" style="643" customWidth="1"/>
    <col min="15622" max="15622" width="16.28515625" style="643" customWidth="1"/>
    <col min="15623" max="15623" width="22" style="643" customWidth="1"/>
    <col min="15624" max="15624" width="17.42578125" style="643" customWidth="1"/>
    <col min="15625" max="15872" width="9.140625" style="643"/>
    <col min="15873" max="15873" width="8.28515625" style="643" customWidth="1"/>
    <col min="15874" max="15874" width="15.5703125" style="643" customWidth="1"/>
    <col min="15875" max="15875" width="14.7109375" style="643" customWidth="1"/>
    <col min="15876" max="15876" width="21" style="643" customWidth="1"/>
    <col min="15877" max="15877" width="15.7109375" style="643" customWidth="1"/>
    <col min="15878" max="15878" width="16.28515625" style="643" customWidth="1"/>
    <col min="15879" max="15879" width="22" style="643" customWidth="1"/>
    <col min="15880" max="15880" width="17.42578125" style="643" customWidth="1"/>
    <col min="15881" max="16128" width="9.140625" style="643"/>
    <col min="16129" max="16129" width="8.28515625" style="643" customWidth="1"/>
    <col min="16130" max="16130" width="15.5703125" style="643" customWidth="1"/>
    <col min="16131" max="16131" width="14.7109375" style="643" customWidth="1"/>
    <col min="16132" max="16132" width="21" style="643" customWidth="1"/>
    <col min="16133" max="16133" width="15.7109375" style="643" customWidth="1"/>
    <col min="16134" max="16134" width="16.28515625" style="643" customWidth="1"/>
    <col min="16135" max="16135" width="22" style="643" customWidth="1"/>
    <col min="16136" max="16136" width="17.42578125" style="643" customWidth="1"/>
    <col min="16137" max="16384" width="9.140625" style="643"/>
  </cols>
  <sheetData>
    <row r="1" spans="1:8" ht="18" x14ac:dyDescent="0.35">
      <c r="A1" s="1170" t="s">
        <v>0</v>
      </c>
      <c r="B1" s="1170"/>
      <c r="C1" s="1170"/>
      <c r="D1" s="1170"/>
      <c r="E1" s="1170"/>
      <c r="F1" s="1170"/>
      <c r="G1" s="1170"/>
      <c r="H1" s="644" t="s">
        <v>772</v>
      </c>
    </row>
    <row r="2" spans="1:8" ht="21" x14ac:dyDescent="0.35">
      <c r="A2" s="1171" t="s">
        <v>788</v>
      </c>
      <c r="B2" s="1171"/>
      <c r="C2" s="1171"/>
      <c r="D2" s="1171"/>
      <c r="E2" s="1171"/>
      <c r="F2" s="1171"/>
      <c r="G2" s="1171"/>
      <c r="H2" s="1171"/>
    </row>
    <row r="3" spans="1:8" ht="15" x14ac:dyDescent="0.3">
      <c r="A3" s="645"/>
      <c r="B3" s="645"/>
    </row>
    <row r="4" spans="1:8" ht="18" customHeight="1" x14ac:dyDescent="0.35">
      <c r="A4" s="1172" t="s">
        <v>861</v>
      </c>
      <c r="B4" s="1172"/>
      <c r="C4" s="1172"/>
      <c r="D4" s="1172"/>
      <c r="E4" s="1172"/>
      <c r="F4" s="1172"/>
      <c r="G4" s="1172"/>
      <c r="H4" s="1172"/>
    </row>
    <row r="5" spans="1:8" ht="15" x14ac:dyDescent="0.3">
      <c r="A5" s="646" t="s">
        <v>1085</v>
      </c>
      <c r="B5" s="646"/>
    </row>
    <row r="6" spans="1:8" ht="15" x14ac:dyDescent="0.3">
      <c r="A6" s="646"/>
      <c r="B6" s="646"/>
      <c r="F6" s="1314" t="s">
        <v>812</v>
      </c>
      <c r="G6" s="1314"/>
      <c r="H6" s="1314"/>
    </row>
    <row r="7" spans="1:8" ht="59.25" customHeight="1" x14ac:dyDescent="0.2">
      <c r="A7" s="827" t="s">
        <v>2</v>
      </c>
      <c r="B7" s="827" t="s">
        <v>3</v>
      </c>
      <c r="C7" s="650" t="s">
        <v>862</v>
      </c>
      <c r="D7" s="650" t="s">
        <v>863</v>
      </c>
      <c r="E7" s="650" t="s">
        <v>864</v>
      </c>
      <c r="F7" s="650" t="s">
        <v>865</v>
      </c>
      <c r="G7" s="828" t="s">
        <v>866</v>
      </c>
      <c r="H7" s="651" t="s">
        <v>867</v>
      </c>
    </row>
    <row r="8" spans="1:8" s="644" customFormat="1" ht="15" x14ac:dyDescent="0.25">
      <c r="A8" s="652" t="s">
        <v>287</v>
      </c>
      <c r="B8" s="652" t="s">
        <v>288</v>
      </c>
      <c r="C8" s="652" t="s">
        <v>289</v>
      </c>
      <c r="D8" s="652" t="s">
        <v>290</v>
      </c>
      <c r="E8" s="652" t="s">
        <v>291</v>
      </c>
      <c r="F8" s="652" t="s">
        <v>292</v>
      </c>
      <c r="G8" s="829" t="s">
        <v>293</v>
      </c>
      <c r="H8" s="830">
        <v>8</v>
      </c>
    </row>
    <row r="9" spans="1:8" s="644" customFormat="1" ht="19.5" customHeight="1" x14ac:dyDescent="0.25">
      <c r="A9" s="661">
        <v>1</v>
      </c>
      <c r="B9" s="661" t="s">
        <v>386</v>
      </c>
      <c r="C9" s="675">
        <v>2407</v>
      </c>
      <c r="D9" s="675">
        <v>0</v>
      </c>
      <c r="E9" s="675">
        <v>0</v>
      </c>
      <c r="F9" s="1315" t="s">
        <v>1099</v>
      </c>
      <c r="G9" s="1318" t="s">
        <v>1100</v>
      </c>
      <c r="H9" s="1319" t="s">
        <v>1101</v>
      </c>
    </row>
    <row r="10" spans="1:8" s="644" customFormat="1" ht="19.5" customHeight="1" x14ac:dyDescent="0.25">
      <c r="A10" s="661">
        <v>2</v>
      </c>
      <c r="B10" s="661" t="s">
        <v>387</v>
      </c>
      <c r="C10" s="675">
        <v>1101</v>
      </c>
      <c r="D10" s="675">
        <v>80</v>
      </c>
      <c r="E10" s="675">
        <v>4</v>
      </c>
      <c r="F10" s="1316"/>
      <c r="G10" s="1316"/>
      <c r="H10" s="1320"/>
    </row>
    <row r="11" spans="1:8" s="644" customFormat="1" ht="19.5" customHeight="1" x14ac:dyDescent="0.25">
      <c r="A11" s="661">
        <v>3</v>
      </c>
      <c r="B11" s="661" t="s">
        <v>388</v>
      </c>
      <c r="C11" s="675">
        <v>1912</v>
      </c>
      <c r="D11" s="675">
        <v>0</v>
      </c>
      <c r="E11" s="675">
        <v>0</v>
      </c>
      <c r="F11" s="1316"/>
      <c r="G11" s="1316"/>
      <c r="H11" s="1320"/>
    </row>
    <row r="12" spans="1:8" s="644" customFormat="1" ht="19.5" customHeight="1" x14ac:dyDescent="0.25">
      <c r="A12" s="661">
        <v>4</v>
      </c>
      <c r="B12" s="661" t="s">
        <v>389</v>
      </c>
      <c r="C12" s="675">
        <v>1046</v>
      </c>
      <c r="D12" s="675">
        <v>0</v>
      </c>
      <c r="E12" s="675">
        <v>0</v>
      </c>
      <c r="F12" s="1316"/>
      <c r="G12" s="1316"/>
      <c r="H12" s="1320"/>
    </row>
    <row r="13" spans="1:8" s="644" customFormat="1" ht="19.5" customHeight="1" x14ac:dyDescent="0.25">
      <c r="A13" s="661">
        <v>5</v>
      </c>
      <c r="B13" s="661" t="s">
        <v>390</v>
      </c>
      <c r="C13" s="675">
        <v>2454</v>
      </c>
      <c r="D13" s="675">
        <v>0</v>
      </c>
      <c r="E13" s="675">
        <v>0</v>
      </c>
      <c r="F13" s="1316"/>
      <c r="G13" s="1316"/>
      <c r="H13" s="1320"/>
    </row>
    <row r="14" spans="1:8" s="644" customFormat="1" ht="19.5" customHeight="1" x14ac:dyDescent="0.25">
      <c r="A14" s="661">
        <v>6</v>
      </c>
      <c r="B14" s="661" t="s">
        <v>391</v>
      </c>
      <c r="C14" s="675">
        <v>2481</v>
      </c>
      <c r="D14" s="675">
        <v>0</v>
      </c>
      <c r="E14" s="675">
        <v>0</v>
      </c>
      <c r="F14" s="1316"/>
      <c r="G14" s="1316"/>
      <c r="H14" s="1320"/>
    </row>
    <row r="15" spans="1:8" s="644" customFormat="1" ht="19.5" customHeight="1" x14ac:dyDescent="0.25">
      <c r="A15" s="661">
        <v>7</v>
      </c>
      <c r="B15" s="661" t="s">
        <v>392</v>
      </c>
      <c r="C15" s="837">
        <v>2276</v>
      </c>
      <c r="D15" s="675">
        <v>0</v>
      </c>
      <c r="E15" s="675">
        <v>0</v>
      </c>
      <c r="F15" s="1316"/>
      <c r="G15" s="1316"/>
      <c r="H15" s="1320"/>
    </row>
    <row r="16" spans="1:8" s="644" customFormat="1" ht="19.5" customHeight="1" x14ac:dyDescent="0.25">
      <c r="A16" s="661">
        <v>8</v>
      </c>
      <c r="B16" s="661" t="s">
        <v>393</v>
      </c>
      <c r="C16" s="683">
        <v>2747</v>
      </c>
      <c r="D16" s="675">
        <v>0</v>
      </c>
      <c r="E16" s="675">
        <v>0</v>
      </c>
      <c r="F16" s="1316"/>
      <c r="G16" s="1316"/>
      <c r="H16" s="1320"/>
    </row>
    <row r="17" spans="1:13" ht="19.5" customHeight="1" x14ac:dyDescent="0.2">
      <c r="A17" s="883">
        <v>9</v>
      </c>
      <c r="B17" s="883" t="s">
        <v>394</v>
      </c>
      <c r="C17" s="676">
        <v>1988</v>
      </c>
      <c r="D17" s="675">
        <v>0</v>
      </c>
      <c r="E17" s="675">
        <v>0</v>
      </c>
      <c r="F17" s="1316"/>
      <c r="G17" s="1316"/>
      <c r="H17" s="1320"/>
    </row>
    <row r="18" spans="1:13" ht="19.5" customHeight="1" x14ac:dyDescent="0.2">
      <c r="A18" s="883">
        <v>10</v>
      </c>
      <c r="B18" s="883" t="s">
        <v>395</v>
      </c>
      <c r="C18" s="676">
        <v>1123</v>
      </c>
      <c r="D18" s="675">
        <v>0</v>
      </c>
      <c r="E18" s="675">
        <v>0</v>
      </c>
      <c r="F18" s="1316"/>
      <c r="G18" s="1316"/>
      <c r="H18" s="1320"/>
    </row>
    <row r="19" spans="1:13" ht="19.5" customHeight="1" x14ac:dyDescent="0.2">
      <c r="A19" s="883">
        <v>11</v>
      </c>
      <c r="B19" s="883" t="s">
        <v>396</v>
      </c>
      <c r="C19" s="676">
        <v>2719</v>
      </c>
      <c r="D19" s="675">
        <v>0</v>
      </c>
      <c r="E19" s="675">
        <v>0</v>
      </c>
      <c r="F19" s="1316"/>
      <c r="G19" s="1316"/>
      <c r="H19" s="1320"/>
    </row>
    <row r="20" spans="1:13" ht="19.5" customHeight="1" x14ac:dyDescent="0.2">
      <c r="A20" s="883">
        <v>12</v>
      </c>
      <c r="B20" s="883" t="s">
        <v>397</v>
      </c>
      <c r="C20" s="676">
        <v>2784</v>
      </c>
      <c r="D20" s="675">
        <v>0</v>
      </c>
      <c r="E20" s="675">
        <v>0</v>
      </c>
      <c r="F20" s="1316"/>
      <c r="G20" s="1316"/>
      <c r="H20" s="1320"/>
    </row>
    <row r="21" spans="1:13" ht="19.5" customHeight="1" x14ac:dyDescent="0.2">
      <c r="A21" s="883">
        <v>13</v>
      </c>
      <c r="B21" s="883" t="s">
        <v>398</v>
      </c>
      <c r="C21" s="676">
        <v>1494</v>
      </c>
      <c r="D21" s="675">
        <v>0</v>
      </c>
      <c r="E21" s="675">
        <v>0</v>
      </c>
      <c r="F21" s="1317"/>
      <c r="G21" s="1317"/>
      <c r="H21" s="1321"/>
    </row>
    <row r="22" spans="1:13" ht="19.5" customHeight="1" x14ac:dyDescent="0.2">
      <c r="A22" s="1322" t="s">
        <v>18</v>
      </c>
      <c r="B22" s="1323"/>
      <c r="C22" s="839">
        <f>SUM(C9:C21)</f>
        <v>26532</v>
      </c>
      <c r="D22" s="839">
        <f t="shared" ref="D22:E22" si="0">SUM(D9:D21)</f>
        <v>80</v>
      </c>
      <c r="E22" s="839">
        <f t="shared" si="0"/>
        <v>4</v>
      </c>
      <c r="F22" s="653"/>
      <c r="G22" s="831"/>
      <c r="H22" s="653"/>
    </row>
    <row r="23" spans="1:13" x14ac:dyDescent="0.2">
      <c r="A23" s="832"/>
    </row>
    <row r="26" spans="1:13" ht="15" customHeight="1" x14ac:dyDescent="0.2">
      <c r="A26" s="833"/>
      <c r="B26" s="833"/>
      <c r="C26" s="833"/>
      <c r="D26" s="833"/>
      <c r="E26" s="833"/>
      <c r="F26" s="1324" t="s">
        <v>12</v>
      </c>
      <c r="G26" s="1324"/>
      <c r="H26" s="884"/>
      <c r="I26" s="884"/>
    </row>
    <row r="27" spans="1:13" ht="15" customHeight="1" x14ac:dyDescent="0.2">
      <c r="A27" s="833"/>
      <c r="B27" s="833"/>
      <c r="C27" s="833"/>
      <c r="D27" s="833"/>
      <c r="E27" s="833"/>
      <c r="F27" s="1324" t="s">
        <v>13</v>
      </c>
      <c r="G27" s="1324"/>
      <c r="H27" s="884"/>
      <c r="I27" s="884"/>
    </row>
    <row r="28" spans="1:13" ht="15" customHeight="1" x14ac:dyDescent="0.2">
      <c r="A28" s="833"/>
      <c r="B28" s="833"/>
      <c r="C28" s="833"/>
      <c r="D28" s="833"/>
      <c r="E28" s="833"/>
      <c r="F28" s="1325" t="s">
        <v>87</v>
      </c>
      <c r="G28" s="1325"/>
      <c r="H28" s="1325"/>
      <c r="I28" s="1325"/>
    </row>
    <row r="29" spans="1:13" x14ac:dyDescent="0.2">
      <c r="A29" s="833" t="s">
        <v>11</v>
      </c>
      <c r="C29" s="833"/>
      <c r="D29" s="833"/>
      <c r="E29" s="833"/>
      <c r="F29" s="1326" t="s">
        <v>84</v>
      </c>
      <c r="G29" s="1326"/>
      <c r="H29" s="833"/>
      <c r="I29" s="833"/>
    </row>
    <row r="30" spans="1:13" x14ac:dyDescent="0.2">
      <c r="A30" s="833"/>
      <c r="B30" s="833"/>
      <c r="C30" s="833"/>
      <c r="D30" s="833"/>
      <c r="E30" s="833"/>
      <c r="F30" s="833"/>
      <c r="G30" s="833"/>
      <c r="H30" s="833"/>
      <c r="I30" s="833"/>
      <c r="J30" s="833"/>
      <c r="K30" s="833"/>
      <c r="L30" s="833"/>
      <c r="M30" s="833"/>
    </row>
  </sheetData>
  <mergeCells count="12">
    <mergeCell ref="A22:B22"/>
    <mergeCell ref="F26:G26"/>
    <mergeCell ref="F27:G27"/>
    <mergeCell ref="F28:I28"/>
    <mergeCell ref="F29:G29"/>
    <mergeCell ref="A1:G1"/>
    <mergeCell ref="A2:H2"/>
    <mergeCell ref="A4:H4"/>
    <mergeCell ref="F6:H6"/>
    <mergeCell ref="F9:F21"/>
    <mergeCell ref="G9:G21"/>
    <mergeCell ref="H9:H21"/>
  </mergeCells>
  <printOptions horizontalCentered="1"/>
  <pageMargins left="0.70866141732283472" right="0.70866141732283472" top="0.23622047244094491" bottom="0" header="0.31496062992125984" footer="0.31496062992125984"/>
  <pageSetup paperSize="9" scale="96"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5" tint="0.39997558519241921"/>
    <pageSetUpPr fitToPage="1"/>
  </sheetPr>
  <dimension ref="A1:M30"/>
  <sheetViews>
    <sheetView view="pageBreakPreview" topLeftCell="A7" zoomScaleNormal="100" zoomScaleSheetLayoutView="100" workbookViewId="0">
      <selection activeCell="D22" sqref="D22"/>
    </sheetView>
  </sheetViews>
  <sheetFormatPr defaultRowHeight="12.75" x14ac:dyDescent="0.2"/>
  <cols>
    <col min="1" max="1" width="8.28515625" style="643" customWidth="1"/>
    <col min="2" max="2" width="15.5703125" style="643" customWidth="1"/>
    <col min="3" max="3" width="14.7109375" style="643" customWidth="1"/>
    <col min="4" max="4" width="21" style="643" customWidth="1"/>
    <col min="5" max="5" width="15.7109375" style="643" customWidth="1"/>
    <col min="6" max="6" width="20.7109375" style="643" customWidth="1"/>
    <col min="7" max="7" width="23.28515625" style="643" customWidth="1"/>
    <col min="8" max="8" width="18.7109375" style="643" customWidth="1"/>
    <col min="9" max="256" width="9.140625" style="643"/>
    <col min="257" max="257" width="8.28515625" style="643" customWidth="1"/>
    <col min="258" max="258" width="15.5703125" style="643" customWidth="1"/>
    <col min="259" max="259" width="14.7109375" style="643" customWidth="1"/>
    <col min="260" max="260" width="21" style="643" customWidth="1"/>
    <col min="261" max="261" width="15.7109375" style="643" customWidth="1"/>
    <col min="262" max="262" width="16.28515625" style="643" customWidth="1"/>
    <col min="263" max="263" width="22" style="643" customWidth="1"/>
    <col min="264" max="264" width="17.42578125" style="643" customWidth="1"/>
    <col min="265" max="512" width="9.140625" style="643"/>
    <col min="513" max="513" width="8.28515625" style="643" customWidth="1"/>
    <col min="514" max="514" width="15.5703125" style="643" customWidth="1"/>
    <col min="515" max="515" width="14.7109375" style="643" customWidth="1"/>
    <col min="516" max="516" width="21" style="643" customWidth="1"/>
    <col min="517" max="517" width="15.7109375" style="643" customWidth="1"/>
    <col min="518" max="518" width="16.28515625" style="643" customWidth="1"/>
    <col min="519" max="519" width="22" style="643" customWidth="1"/>
    <col min="520" max="520" width="17.42578125" style="643" customWidth="1"/>
    <col min="521" max="768" width="9.140625" style="643"/>
    <col min="769" max="769" width="8.28515625" style="643" customWidth="1"/>
    <col min="770" max="770" width="15.5703125" style="643" customWidth="1"/>
    <col min="771" max="771" width="14.7109375" style="643" customWidth="1"/>
    <col min="772" max="772" width="21" style="643" customWidth="1"/>
    <col min="773" max="773" width="15.7109375" style="643" customWidth="1"/>
    <col min="774" max="774" width="16.28515625" style="643" customWidth="1"/>
    <col min="775" max="775" width="22" style="643" customWidth="1"/>
    <col min="776" max="776" width="17.42578125" style="643" customWidth="1"/>
    <col min="777" max="1024" width="9.140625" style="643"/>
    <col min="1025" max="1025" width="8.28515625" style="643" customWidth="1"/>
    <col min="1026" max="1026" width="15.5703125" style="643" customWidth="1"/>
    <col min="1027" max="1027" width="14.7109375" style="643" customWidth="1"/>
    <col min="1028" max="1028" width="21" style="643" customWidth="1"/>
    <col min="1029" max="1029" width="15.7109375" style="643" customWidth="1"/>
    <col min="1030" max="1030" width="16.28515625" style="643" customWidth="1"/>
    <col min="1031" max="1031" width="22" style="643" customWidth="1"/>
    <col min="1032" max="1032" width="17.42578125" style="643" customWidth="1"/>
    <col min="1033" max="1280" width="9.140625" style="643"/>
    <col min="1281" max="1281" width="8.28515625" style="643" customWidth="1"/>
    <col min="1282" max="1282" width="15.5703125" style="643" customWidth="1"/>
    <col min="1283" max="1283" width="14.7109375" style="643" customWidth="1"/>
    <col min="1284" max="1284" width="21" style="643" customWidth="1"/>
    <col min="1285" max="1285" width="15.7109375" style="643" customWidth="1"/>
    <col min="1286" max="1286" width="16.28515625" style="643" customWidth="1"/>
    <col min="1287" max="1287" width="22" style="643" customWidth="1"/>
    <col min="1288" max="1288" width="17.42578125" style="643" customWidth="1"/>
    <col min="1289" max="1536" width="9.140625" style="643"/>
    <col min="1537" max="1537" width="8.28515625" style="643" customWidth="1"/>
    <col min="1538" max="1538" width="15.5703125" style="643" customWidth="1"/>
    <col min="1539" max="1539" width="14.7109375" style="643" customWidth="1"/>
    <col min="1540" max="1540" width="21" style="643" customWidth="1"/>
    <col min="1541" max="1541" width="15.7109375" style="643" customWidth="1"/>
    <col min="1542" max="1542" width="16.28515625" style="643" customWidth="1"/>
    <col min="1543" max="1543" width="22" style="643" customWidth="1"/>
    <col min="1544" max="1544" width="17.42578125" style="643" customWidth="1"/>
    <col min="1545" max="1792" width="9.140625" style="643"/>
    <col min="1793" max="1793" width="8.28515625" style="643" customWidth="1"/>
    <col min="1794" max="1794" width="15.5703125" style="643" customWidth="1"/>
    <col min="1795" max="1795" width="14.7109375" style="643" customWidth="1"/>
    <col min="1796" max="1796" width="21" style="643" customWidth="1"/>
    <col min="1797" max="1797" width="15.7109375" style="643" customWidth="1"/>
    <col min="1798" max="1798" width="16.28515625" style="643" customWidth="1"/>
    <col min="1799" max="1799" width="22" style="643" customWidth="1"/>
    <col min="1800" max="1800" width="17.42578125" style="643" customWidth="1"/>
    <col min="1801" max="2048" width="9.140625" style="643"/>
    <col min="2049" max="2049" width="8.28515625" style="643" customWidth="1"/>
    <col min="2050" max="2050" width="15.5703125" style="643" customWidth="1"/>
    <col min="2051" max="2051" width="14.7109375" style="643" customWidth="1"/>
    <col min="2052" max="2052" width="21" style="643" customWidth="1"/>
    <col min="2053" max="2053" width="15.7109375" style="643" customWidth="1"/>
    <col min="2054" max="2054" width="16.28515625" style="643" customWidth="1"/>
    <col min="2055" max="2055" width="22" style="643" customWidth="1"/>
    <col min="2056" max="2056" width="17.42578125" style="643" customWidth="1"/>
    <col min="2057" max="2304" width="9.140625" style="643"/>
    <col min="2305" max="2305" width="8.28515625" style="643" customWidth="1"/>
    <col min="2306" max="2306" width="15.5703125" style="643" customWidth="1"/>
    <col min="2307" max="2307" width="14.7109375" style="643" customWidth="1"/>
    <col min="2308" max="2308" width="21" style="643" customWidth="1"/>
    <col min="2309" max="2309" width="15.7109375" style="643" customWidth="1"/>
    <col min="2310" max="2310" width="16.28515625" style="643" customWidth="1"/>
    <col min="2311" max="2311" width="22" style="643" customWidth="1"/>
    <col min="2312" max="2312" width="17.42578125" style="643" customWidth="1"/>
    <col min="2313" max="2560" width="9.140625" style="643"/>
    <col min="2561" max="2561" width="8.28515625" style="643" customWidth="1"/>
    <col min="2562" max="2562" width="15.5703125" style="643" customWidth="1"/>
    <col min="2563" max="2563" width="14.7109375" style="643" customWidth="1"/>
    <col min="2564" max="2564" width="21" style="643" customWidth="1"/>
    <col min="2565" max="2565" width="15.7109375" style="643" customWidth="1"/>
    <col min="2566" max="2566" width="16.28515625" style="643" customWidth="1"/>
    <col min="2567" max="2567" width="22" style="643" customWidth="1"/>
    <col min="2568" max="2568" width="17.42578125" style="643" customWidth="1"/>
    <col min="2569" max="2816" width="9.140625" style="643"/>
    <col min="2817" max="2817" width="8.28515625" style="643" customWidth="1"/>
    <col min="2818" max="2818" width="15.5703125" style="643" customWidth="1"/>
    <col min="2819" max="2819" width="14.7109375" style="643" customWidth="1"/>
    <col min="2820" max="2820" width="21" style="643" customWidth="1"/>
    <col min="2821" max="2821" width="15.7109375" style="643" customWidth="1"/>
    <col min="2822" max="2822" width="16.28515625" style="643" customWidth="1"/>
    <col min="2823" max="2823" width="22" style="643" customWidth="1"/>
    <col min="2824" max="2824" width="17.42578125" style="643" customWidth="1"/>
    <col min="2825" max="3072" width="9.140625" style="643"/>
    <col min="3073" max="3073" width="8.28515625" style="643" customWidth="1"/>
    <col min="3074" max="3074" width="15.5703125" style="643" customWidth="1"/>
    <col min="3075" max="3075" width="14.7109375" style="643" customWidth="1"/>
    <col min="3076" max="3076" width="21" style="643" customWidth="1"/>
    <col min="3077" max="3077" width="15.7109375" style="643" customWidth="1"/>
    <col min="3078" max="3078" width="16.28515625" style="643" customWidth="1"/>
    <col min="3079" max="3079" width="22" style="643" customWidth="1"/>
    <col min="3080" max="3080" width="17.42578125" style="643" customWidth="1"/>
    <col min="3081" max="3328" width="9.140625" style="643"/>
    <col min="3329" max="3329" width="8.28515625" style="643" customWidth="1"/>
    <col min="3330" max="3330" width="15.5703125" style="643" customWidth="1"/>
    <col min="3331" max="3331" width="14.7109375" style="643" customWidth="1"/>
    <col min="3332" max="3332" width="21" style="643" customWidth="1"/>
    <col min="3333" max="3333" width="15.7109375" style="643" customWidth="1"/>
    <col min="3334" max="3334" width="16.28515625" style="643" customWidth="1"/>
    <col min="3335" max="3335" width="22" style="643" customWidth="1"/>
    <col min="3336" max="3336" width="17.42578125" style="643" customWidth="1"/>
    <col min="3337" max="3584" width="9.140625" style="643"/>
    <col min="3585" max="3585" width="8.28515625" style="643" customWidth="1"/>
    <col min="3586" max="3586" width="15.5703125" style="643" customWidth="1"/>
    <col min="3587" max="3587" width="14.7109375" style="643" customWidth="1"/>
    <col min="3588" max="3588" width="21" style="643" customWidth="1"/>
    <col min="3589" max="3589" width="15.7109375" style="643" customWidth="1"/>
    <col min="3590" max="3590" width="16.28515625" style="643" customWidth="1"/>
    <col min="3591" max="3591" width="22" style="643" customWidth="1"/>
    <col min="3592" max="3592" width="17.42578125" style="643" customWidth="1"/>
    <col min="3593" max="3840" width="9.140625" style="643"/>
    <col min="3841" max="3841" width="8.28515625" style="643" customWidth="1"/>
    <col min="3842" max="3842" width="15.5703125" style="643" customWidth="1"/>
    <col min="3843" max="3843" width="14.7109375" style="643" customWidth="1"/>
    <col min="3844" max="3844" width="21" style="643" customWidth="1"/>
    <col min="3845" max="3845" width="15.7109375" style="643" customWidth="1"/>
    <col min="3846" max="3846" width="16.28515625" style="643" customWidth="1"/>
    <col min="3847" max="3847" width="22" style="643" customWidth="1"/>
    <col min="3848" max="3848" width="17.42578125" style="643" customWidth="1"/>
    <col min="3849" max="4096" width="9.140625" style="643"/>
    <col min="4097" max="4097" width="8.28515625" style="643" customWidth="1"/>
    <col min="4098" max="4098" width="15.5703125" style="643" customWidth="1"/>
    <col min="4099" max="4099" width="14.7109375" style="643" customWidth="1"/>
    <col min="4100" max="4100" width="21" style="643" customWidth="1"/>
    <col min="4101" max="4101" width="15.7109375" style="643" customWidth="1"/>
    <col min="4102" max="4102" width="16.28515625" style="643" customWidth="1"/>
    <col min="4103" max="4103" width="22" style="643" customWidth="1"/>
    <col min="4104" max="4104" width="17.42578125" style="643" customWidth="1"/>
    <col min="4105" max="4352" width="9.140625" style="643"/>
    <col min="4353" max="4353" width="8.28515625" style="643" customWidth="1"/>
    <col min="4354" max="4354" width="15.5703125" style="643" customWidth="1"/>
    <col min="4355" max="4355" width="14.7109375" style="643" customWidth="1"/>
    <col min="4356" max="4356" width="21" style="643" customWidth="1"/>
    <col min="4357" max="4357" width="15.7109375" style="643" customWidth="1"/>
    <col min="4358" max="4358" width="16.28515625" style="643" customWidth="1"/>
    <col min="4359" max="4359" width="22" style="643" customWidth="1"/>
    <col min="4360" max="4360" width="17.42578125" style="643" customWidth="1"/>
    <col min="4361" max="4608" width="9.140625" style="643"/>
    <col min="4609" max="4609" width="8.28515625" style="643" customWidth="1"/>
    <col min="4610" max="4610" width="15.5703125" style="643" customWidth="1"/>
    <col min="4611" max="4611" width="14.7109375" style="643" customWidth="1"/>
    <col min="4612" max="4612" width="21" style="643" customWidth="1"/>
    <col min="4613" max="4613" width="15.7109375" style="643" customWidth="1"/>
    <col min="4614" max="4614" width="16.28515625" style="643" customWidth="1"/>
    <col min="4615" max="4615" width="22" style="643" customWidth="1"/>
    <col min="4616" max="4616" width="17.42578125" style="643" customWidth="1"/>
    <col min="4617" max="4864" width="9.140625" style="643"/>
    <col min="4865" max="4865" width="8.28515625" style="643" customWidth="1"/>
    <col min="4866" max="4866" width="15.5703125" style="643" customWidth="1"/>
    <col min="4867" max="4867" width="14.7109375" style="643" customWidth="1"/>
    <col min="4868" max="4868" width="21" style="643" customWidth="1"/>
    <col min="4869" max="4869" width="15.7109375" style="643" customWidth="1"/>
    <col min="4870" max="4870" width="16.28515625" style="643" customWidth="1"/>
    <col min="4871" max="4871" width="22" style="643" customWidth="1"/>
    <col min="4872" max="4872" width="17.42578125" style="643" customWidth="1"/>
    <col min="4873" max="5120" width="9.140625" style="643"/>
    <col min="5121" max="5121" width="8.28515625" style="643" customWidth="1"/>
    <col min="5122" max="5122" width="15.5703125" style="643" customWidth="1"/>
    <col min="5123" max="5123" width="14.7109375" style="643" customWidth="1"/>
    <col min="5124" max="5124" width="21" style="643" customWidth="1"/>
    <col min="5125" max="5125" width="15.7109375" style="643" customWidth="1"/>
    <col min="5126" max="5126" width="16.28515625" style="643" customWidth="1"/>
    <col min="5127" max="5127" width="22" style="643" customWidth="1"/>
    <col min="5128" max="5128" width="17.42578125" style="643" customWidth="1"/>
    <col min="5129" max="5376" width="9.140625" style="643"/>
    <col min="5377" max="5377" width="8.28515625" style="643" customWidth="1"/>
    <col min="5378" max="5378" width="15.5703125" style="643" customWidth="1"/>
    <col min="5379" max="5379" width="14.7109375" style="643" customWidth="1"/>
    <col min="5380" max="5380" width="21" style="643" customWidth="1"/>
    <col min="5381" max="5381" width="15.7109375" style="643" customWidth="1"/>
    <col min="5382" max="5382" width="16.28515625" style="643" customWidth="1"/>
    <col min="5383" max="5383" width="22" style="643" customWidth="1"/>
    <col min="5384" max="5384" width="17.42578125" style="643" customWidth="1"/>
    <col min="5385" max="5632" width="9.140625" style="643"/>
    <col min="5633" max="5633" width="8.28515625" style="643" customWidth="1"/>
    <col min="5634" max="5634" width="15.5703125" style="643" customWidth="1"/>
    <col min="5635" max="5635" width="14.7109375" style="643" customWidth="1"/>
    <col min="5636" max="5636" width="21" style="643" customWidth="1"/>
    <col min="5637" max="5637" width="15.7109375" style="643" customWidth="1"/>
    <col min="5638" max="5638" width="16.28515625" style="643" customWidth="1"/>
    <col min="5639" max="5639" width="22" style="643" customWidth="1"/>
    <col min="5640" max="5640" width="17.42578125" style="643" customWidth="1"/>
    <col min="5641" max="5888" width="9.140625" style="643"/>
    <col min="5889" max="5889" width="8.28515625" style="643" customWidth="1"/>
    <col min="5890" max="5890" width="15.5703125" style="643" customWidth="1"/>
    <col min="5891" max="5891" width="14.7109375" style="643" customWidth="1"/>
    <col min="5892" max="5892" width="21" style="643" customWidth="1"/>
    <col min="5893" max="5893" width="15.7109375" style="643" customWidth="1"/>
    <col min="5894" max="5894" width="16.28515625" style="643" customWidth="1"/>
    <col min="5895" max="5895" width="22" style="643" customWidth="1"/>
    <col min="5896" max="5896" width="17.42578125" style="643" customWidth="1"/>
    <col min="5897" max="6144" width="9.140625" style="643"/>
    <col min="6145" max="6145" width="8.28515625" style="643" customWidth="1"/>
    <col min="6146" max="6146" width="15.5703125" style="643" customWidth="1"/>
    <col min="6147" max="6147" width="14.7109375" style="643" customWidth="1"/>
    <col min="6148" max="6148" width="21" style="643" customWidth="1"/>
    <col min="6149" max="6149" width="15.7109375" style="643" customWidth="1"/>
    <col min="6150" max="6150" width="16.28515625" style="643" customWidth="1"/>
    <col min="6151" max="6151" width="22" style="643" customWidth="1"/>
    <col min="6152" max="6152" width="17.42578125" style="643" customWidth="1"/>
    <col min="6153" max="6400" width="9.140625" style="643"/>
    <col min="6401" max="6401" width="8.28515625" style="643" customWidth="1"/>
    <col min="6402" max="6402" width="15.5703125" style="643" customWidth="1"/>
    <col min="6403" max="6403" width="14.7109375" style="643" customWidth="1"/>
    <col min="6404" max="6404" width="21" style="643" customWidth="1"/>
    <col min="6405" max="6405" width="15.7109375" style="643" customWidth="1"/>
    <col min="6406" max="6406" width="16.28515625" style="643" customWidth="1"/>
    <col min="6407" max="6407" width="22" style="643" customWidth="1"/>
    <col min="6408" max="6408" width="17.42578125" style="643" customWidth="1"/>
    <col min="6409" max="6656" width="9.140625" style="643"/>
    <col min="6657" max="6657" width="8.28515625" style="643" customWidth="1"/>
    <col min="6658" max="6658" width="15.5703125" style="643" customWidth="1"/>
    <col min="6659" max="6659" width="14.7109375" style="643" customWidth="1"/>
    <col min="6660" max="6660" width="21" style="643" customWidth="1"/>
    <col min="6661" max="6661" width="15.7109375" style="643" customWidth="1"/>
    <col min="6662" max="6662" width="16.28515625" style="643" customWidth="1"/>
    <col min="6663" max="6663" width="22" style="643" customWidth="1"/>
    <col min="6664" max="6664" width="17.42578125" style="643" customWidth="1"/>
    <col min="6665" max="6912" width="9.140625" style="643"/>
    <col min="6913" max="6913" width="8.28515625" style="643" customWidth="1"/>
    <col min="6914" max="6914" width="15.5703125" style="643" customWidth="1"/>
    <col min="6915" max="6915" width="14.7109375" style="643" customWidth="1"/>
    <col min="6916" max="6916" width="21" style="643" customWidth="1"/>
    <col min="6917" max="6917" width="15.7109375" style="643" customWidth="1"/>
    <col min="6918" max="6918" width="16.28515625" style="643" customWidth="1"/>
    <col min="6919" max="6919" width="22" style="643" customWidth="1"/>
    <col min="6920" max="6920" width="17.42578125" style="643" customWidth="1"/>
    <col min="6921" max="7168" width="9.140625" style="643"/>
    <col min="7169" max="7169" width="8.28515625" style="643" customWidth="1"/>
    <col min="7170" max="7170" width="15.5703125" style="643" customWidth="1"/>
    <col min="7171" max="7171" width="14.7109375" style="643" customWidth="1"/>
    <col min="7172" max="7172" width="21" style="643" customWidth="1"/>
    <col min="7173" max="7173" width="15.7109375" style="643" customWidth="1"/>
    <col min="7174" max="7174" width="16.28515625" style="643" customWidth="1"/>
    <col min="7175" max="7175" width="22" style="643" customWidth="1"/>
    <col min="7176" max="7176" width="17.42578125" style="643" customWidth="1"/>
    <col min="7177" max="7424" width="9.140625" style="643"/>
    <col min="7425" max="7425" width="8.28515625" style="643" customWidth="1"/>
    <col min="7426" max="7426" width="15.5703125" style="643" customWidth="1"/>
    <col min="7427" max="7427" width="14.7109375" style="643" customWidth="1"/>
    <col min="7428" max="7428" width="21" style="643" customWidth="1"/>
    <col min="7429" max="7429" width="15.7109375" style="643" customWidth="1"/>
    <col min="7430" max="7430" width="16.28515625" style="643" customWidth="1"/>
    <col min="7431" max="7431" width="22" style="643" customWidth="1"/>
    <col min="7432" max="7432" width="17.42578125" style="643" customWidth="1"/>
    <col min="7433" max="7680" width="9.140625" style="643"/>
    <col min="7681" max="7681" width="8.28515625" style="643" customWidth="1"/>
    <col min="7682" max="7682" width="15.5703125" style="643" customWidth="1"/>
    <col min="7683" max="7683" width="14.7109375" style="643" customWidth="1"/>
    <col min="7684" max="7684" width="21" style="643" customWidth="1"/>
    <col min="7685" max="7685" width="15.7109375" style="643" customWidth="1"/>
    <col min="7686" max="7686" width="16.28515625" style="643" customWidth="1"/>
    <col min="7687" max="7687" width="22" style="643" customWidth="1"/>
    <col min="7688" max="7688" width="17.42578125" style="643" customWidth="1"/>
    <col min="7689" max="7936" width="9.140625" style="643"/>
    <col min="7937" max="7937" width="8.28515625" style="643" customWidth="1"/>
    <col min="7938" max="7938" width="15.5703125" style="643" customWidth="1"/>
    <col min="7939" max="7939" width="14.7109375" style="643" customWidth="1"/>
    <col min="7940" max="7940" width="21" style="643" customWidth="1"/>
    <col min="7941" max="7941" width="15.7109375" style="643" customWidth="1"/>
    <col min="7942" max="7942" width="16.28515625" style="643" customWidth="1"/>
    <col min="7943" max="7943" width="22" style="643" customWidth="1"/>
    <col min="7944" max="7944" width="17.42578125" style="643" customWidth="1"/>
    <col min="7945" max="8192" width="9.140625" style="643"/>
    <col min="8193" max="8193" width="8.28515625" style="643" customWidth="1"/>
    <col min="8194" max="8194" width="15.5703125" style="643" customWidth="1"/>
    <col min="8195" max="8195" width="14.7109375" style="643" customWidth="1"/>
    <col min="8196" max="8196" width="21" style="643" customWidth="1"/>
    <col min="8197" max="8197" width="15.7109375" style="643" customWidth="1"/>
    <col min="8198" max="8198" width="16.28515625" style="643" customWidth="1"/>
    <col min="8199" max="8199" width="22" style="643" customWidth="1"/>
    <col min="8200" max="8200" width="17.42578125" style="643" customWidth="1"/>
    <col min="8201" max="8448" width="9.140625" style="643"/>
    <col min="8449" max="8449" width="8.28515625" style="643" customWidth="1"/>
    <col min="8450" max="8450" width="15.5703125" style="643" customWidth="1"/>
    <col min="8451" max="8451" width="14.7109375" style="643" customWidth="1"/>
    <col min="8452" max="8452" width="21" style="643" customWidth="1"/>
    <col min="8453" max="8453" width="15.7109375" style="643" customWidth="1"/>
    <col min="8454" max="8454" width="16.28515625" style="643" customWidth="1"/>
    <col min="8455" max="8455" width="22" style="643" customWidth="1"/>
    <col min="8456" max="8456" width="17.42578125" style="643" customWidth="1"/>
    <col min="8457" max="8704" width="9.140625" style="643"/>
    <col min="8705" max="8705" width="8.28515625" style="643" customWidth="1"/>
    <col min="8706" max="8706" width="15.5703125" style="643" customWidth="1"/>
    <col min="8707" max="8707" width="14.7109375" style="643" customWidth="1"/>
    <col min="8708" max="8708" width="21" style="643" customWidth="1"/>
    <col min="8709" max="8709" width="15.7109375" style="643" customWidth="1"/>
    <col min="8710" max="8710" width="16.28515625" style="643" customWidth="1"/>
    <col min="8711" max="8711" width="22" style="643" customWidth="1"/>
    <col min="8712" max="8712" width="17.42578125" style="643" customWidth="1"/>
    <col min="8713" max="8960" width="9.140625" style="643"/>
    <col min="8961" max="8961" width="8.28515625" style="643" customWidth="1"/>
    <col min="8962" max="8962" width="15.5703125" style="643" customWidth="1"/>
    <col min="8963" max="8963" width="14.7109375" style="643" customWidth="1"/>
    <col min="8964" max="8964" width="21" style="643" customWidth="1"/>
    <col min="8965" max="8965" width="15.7109375" style="643" customWidth="1"/>
    <col min="8966" max="8966" width="16.28515625" style="643" customWidth="1"/>
    <col min="8967" max="8967" width="22" style="643" customWidth="1"/>
    <col min="8968" max="8968" width="17.42578125" style="643" customWidth="1"/>
    <col min="8969" max="9216" width="9.140625" style="643"/>
    <col min="9217" max="9217" width="8.28515625" style="643" customWidth="1"/>
    <col min="9218" max="9218" width="15.5703125" style="643" customWidth="1"/>
    <col min="9219" max="9219" width="14.7109375" style="643" customWidth="1"/>
    <col min="9220" max="9220" width="21" style="643" customWidth="1"/>
    <col min="9221" max="9221" width="15.7109375" style="643" customWidth="1"/>
    <col min="9222" max="9222" width="16.28515625" style="643" customWidth="1"/>
    <col min="9223" max="9223" width="22" style="643" customWidth="1"/>
    <col min="9224" max="9224" width="17.42578125" style="643" customWidth="1"/>
    <col min="9225" max="9472" width="9.140625" style="643"/>
    <col min="9473" max="9473" width="8.28515625" style="643" customWidth="1"/>
    <col min="9474" max="9474" width="15.5703125" style="643" customWidth="1"/>
    <col min="9475" max="9475" width="14.7109375" style="643" customWidth="1"/>
    <col min="9476" max="9476" width="21" style="643" customWidth="1"/>
    <col min="9477" max="9477" width="15.7109375" style="643" customWidth="1"/>
    <col min="9478" max="9478" width="16.28515625" style="643" customWidth="1"/>
    <col min="9479" max="9479" width="22" style="643" customWidth="1"/>
    <col min="9480" max="9480" width="17.42578125" style="643" customWidth="1"/>
    <col min="9481" max="9728" width="9.140625" style="643"/>
    <col min="9729" max="9729" width="8.28515625" style="643" customWidth="1"/>
    <col min="9730" max="9730" width="15.5703125" style="643" customWidth="1"/>
    <col min="9731" max="9731" width="14.7109375" style="643" customWidth="1"/>
    <col min="9732" max="9732" width="21" style="643" customWidth="1"/>
    <col min="9733" max="9733" width="15.7109375" style="643" customWidth="1"/>
    <col min="9734" max="9734" width="16.28515625" style="643" customWidth="1"/>
    <col min="9735" max="9735" width="22" style="643" customWidth="1"/>
    <col min="9736" max="9736" width="17.42578125" style="643" customWidth="1"/>
    <col min="9737" max="9984" width="9.140625" style="643"/>
    <col min="9985" max="9985" width="8.28515625" style="643" customWidth="1"/>
    <col min="9986" max="9986" width="15.5703125" style="643" customWidth="1"/>
    <col min="9987" max="9987" width="14.7109375" style="643" customWidth="1"/>
    <col min="9988" max="9988" width="21" style="643" customWidth="1"/>
    <col min="9989" max="9989" width="15.7109375" style="643" customWidth="1"/>
    <col min="9990" max="9990" width="16.28515625" style="643" customWidth="1"/>
    <col min="9991" max="9991" width="22" style="643" customWidth="1"/>
    <col min="9992" max="9992" width="17.42578125" style="643" customWidth="1"/>
    <col min="9993" max="10240" width="9.140625" style="643"/>
    <col min="10241" max="10241" width="8.28515625" style="643" customWidth="1"/>
    <col min="10242" max="10242" width="15.5703125" style="643" customWidth="1"/>
    <col min="10243" max="10243" width="14.7109375" style="643" customWidth="1"/>
    <col min="10244" max="10244" width="21" style="643" customWidth="1"/>
    <col min="10245" max="10245" width="15.7109375" style="643" customWidth="1"/>
    <col min="10246" max="10246" width="16.28515625" style="643" customWidth="1"/>
    <col min="10247" max="10247" width="22" style="643" customWidth="1"/>
    <col min="10248" max="10248" width="17.42578125" style="643" customWidth="1"/>
    <col min="10249" max="10496" width="9.140625" style="643"/>
    <col min="10497" max="10497" width="8.28515625" style="643" customWidth="1"/>
    <col min="10498" max="10498" width="15.5703125" style="643" customWidth="1"/>
    <col min="10499" max="10499" width="14.7109375" style="643" customWidth="1"/>
    <col min="10500" max="10500" width="21" style="643" customWidth="1"/>
    <col min="10501" max="10501" width="15.7109375" style="643" customWidth="1"/>
    <col min="10502" max="10502" width="16.28515625" style="643" customWidth="1"/>
    <col min="10503" max="10503" width="22" style="643" customWidth="1"/>
    <col min="10504" max="10504" width="17.42578125" style="643" customWidth="1"/>
    <col min="10505" max="10752" width="9.140625" style="643"/>
    <col min="10753" max="10753" width="8.28515625" style="643" customWidth="1"/>
    <col min="10754" max="10754" width="15.5703125" style="643" customWidth="1"/>
    <col min="10755" max="10755" width="14.7109375" style="643" customWidth="1"/>
    <col min="10756" max="10756" width="21" style="643" customWidth="1"/>
    <col min="10757" max="10757" width="15.7109375" style="643" customWidth="1"/>
    <col min="10758" max="10758" width="16.28515625" style="643" customWidth="1"/>
    <col min="10759" max="10759" width="22" style="643" customWidth="1"/>
    <col min="10760" max="10760" width="17.42578125" style="643" customWidth="1"/>
    <col min="10761" max="11008" width="9.140625" style="643"/>
    <col min="11009" max="11009" width="8.28515625" style="643" customWidth="1"/>
    <col min="11010" max="11010" width="15.5703125" style="643" customWidth="1"/>
    <col min="11011" max="11011" width="14.7109375" style="643" customWidth="1"/>
    <col min="11012" max="11012" width="21" style="643" customWidth="1"/>
    <col min="11013" max="11013" width="15.7109375" style="643" customWidth="1"/>
    <col min="11014" max="11014" width="16.28515625" style="643" customWidth="1"/>
    <col min="11015" max="11015" width="22" style="643" customWidth="1"/>
    <col min="11016" max="11016" width="17.42578125" style="643" customWidth="1"/>
    <col min="11017" max="11264" width="9.140625" style="643"/>
    <col min="11265" max="11265" width="8.28515625" style="643" customWidth="1"/>
    <col min="11266" max="11266" width="15.5703125" style="643" customWidth="1"/>
    <col min="11267" max="11267" width="14.7109375" style="643" customWidth="1"/>
    <col min="11268" max="11268" width="21" style="643" customWidth="1"/>
    <col min="11269" max="11269" width="15.7109375" style="643" customWidth="1"/>
    <col min="11270" max="11270" width="16.28515625" style="643" customWidth="1"/>
    <col min="11271" max="11271" width="22" style="643" customWidth="1"/>
    <col min="11272" max="11272" width="17.42578125" style="643" customWidth="1"/>
    <col min="11273" max="11520" width="9.140625" style="643"/>
    <col min="11521" max="11521" width="8.28515625" style="643" customWidth="1"/>
    <col min="11522" max="11522" width="15.5703125" style="643" customWidth="1"/>
    <col min="11523" max="11523" width="14.7109375" style="643" customWidth="1"/>
    <col min="11524" max="11524" width="21" style="643" customWidth="1"/>
    <col min="11525" max="11525" width="15.7109375" style="643" customWidth="1"/>
    <col min="11526" max="11526" width="16.28515625" style="643" customWidth="1"/>
    <col min="11527" max="11527" width="22" style="643" customWidth="1"/>
    <col min="11528" max="11528" width="17.42578125" style="643" customWidth="1"/>
    <col min="11529" max="11776" width="9.140625" style="643"/>
    <col min="11777" max="11777" width="8.28515625" style="643" customWidth="1"/>
    <col min="11778" max="11778" width="15.5703125" style="643" customWidth="1"/>
    <col min="11779" max="11779" width="14.7109375" style="643" customWidth="1"/>
    <col min="11780" max="11780" width="21" style="643" customWidth="1"/>
    <col min="11781" max="11781" width="15.7109375" style="643" customWidth="1"/>
    <col min="11782" max="11782" width="16.28515625" style="643" customWidth="1"/>
    <col min="11783" max="11783" width="22" style="643" customWidth="1"/>
    <col min="11784" max="11784" width="17.42578125" style="643" customWidth="1"/>
    <col min="11785" max="12032" width="9.140625" style="643"/>
    <col min="12033" max="12033" width="8.28515625" style="643" customWidth="1"/>
    <col min="12034" max="12034" width="15.5703125" style="643" customWidth="1"/>
    <col min="12035" max="12035" width="14.7109375" style="643" customWidth="1"/>
    <col min="12036" max="12036" width="21" style="643" customWidth="1"/>
    <col min="12037" max="12037" width="15.7109375" style="643" customWidth="1"/>
    <col min="12038" max="12038" width="16.28515625" style="643" customWidth="1"/>
    <col min="12039" max="12039" width="22" style="643" customWidth="1"/>
    <col min="12040" max="12040" width="17.42578125" style="643" customWidth="1"/>
    <col min="12041" max="12288" width="9.140625" style="643"/>
    <col min="12289" max="12289" width="8.28515625" style="643" customWidth="1"/>
    <col min="12290" max="12290" width="15.5703125" style="643" customWidth="1"/>
    <col min="12291" max="12291" width="14.7109375" style="643" customWidth="1"/>
    <col min="12292" max="12292" width="21" style="643" customWidth="1"/>
    <col min="12293" max="12293" width="15.7109375" style="643" customWidth="1"/>
    <col min="12294" max="12294" width="16.28515625" style="643" customWidth="1"/>
    <col min="12295" max="12295" width="22" style="643" customWidth="1"/>
    <col min="12296" max="12296" width="17.42578125" style="643" customWidth="1"/>
    <col min="12297" max="12544" width="9.140625" style="643"/>
    <col min="12545" max="12545" width="8.28515625" style="643" customWidth="1"/>
    <col min="12546" max="12546" width="15.5703125" style="643" customWidth="1"/>
    <col min="12547" max="12547" width="14.7109375" style="643" customWidth="1"/>
    <col min="12548" max="12548" width="21" style="643" customWidth="1"/>
    <col min="12549" max="12549" width="15.7109375" style="643" customWidth="1"/>
    <col min="12550" max="12550" width="16.28515625" style="643" customWidth="1"/>
    <col min="12551" max="12551" width="22" style="643" customWidth="1"/>
    <col min="12552" max="12552" width="17.42578125" style="643" customWidth="1"/>
    <col min="12553" max="12800" width="9.140625" style="643"/>
    <col min="12801" max="12801" width="8.28515625" style="643" customWidth="1"/>
    <col min="12802" max="12802" width="15.5703125" style="643" customWidth="1"/>
    <col min="12803" max="12803" width="14.7109375" style="643" customWidth="1"/>
    <col min="12804" max="12804" width="21" style="643" customWidth="1"/>
    <col min="12805" max="12805" width="15.7109375" style="643" customWidth="1"/>
    <col min="12806" max="12806" width="16.28515625" style="643" customWidth="1"/>
    <col min="12807" max="12807" width="22" style="643" customWidth="1"/>
    <col min="12808" max="12808" width="17.42578125" style="643" customWidth="1"/>
    <col min="12809" max="13056" width="9.140625" style="643"/>
    <col min="13057" max="13057" width="8.28515625" style="643" customWidth="1"/>
    <col min="13058" max="13058" width="15.5703125" style="643" customWidth="1"/>
    <col min="13059" max="13059" width="14.7109375" style="643" customWidth="1"/>
    <col min="13060" max="13060" width="21" style="643" customWidth="1"/>
    <col min="13061" max="13061" width="15.7109375" style="643" customWidth="1"/>
    <col min="13062" max="13062" width="16.28515625" style="643" customWidth="1"/>
    <col min="13063" max="13063" width="22" style="643" customWidth="1"/>
    <col min="13064" max="13064" width="17.42578125" style="643" customWidth="1"/>
    <col min="13065" max="13312" width="9.140625" style="643"/>
    <col min="13313" max="13313" width="8.28515625" style="643" customWidth="1"/>
    <col min="13314" max="13314" width="15.5703125" style="643" customWidth="1"/>
    <col min="13315" max="13315" width="14.7109375" style="643" customWidth="1"/>
    <col min="13316" max="13316" width="21" style="643" customWidth="1"/>
    <col min="13317" max="13317" width="15.7109375" style="643" customWidth="1"/>
    <col min="13318" max="13318" width="16.28515625" style="643" customWidth="1"/>
    <col min="13319" max="13319" width="22" style="643" customWidth="1"/>
    <col min="13320" max="13320" width="17.42578125" style="643" customWidth="1"/>
    <col min="13321" max="13568" width="9.140625" style="643"/>
    <col min="13569" max="13569" width="8.28515625" style="643" customWidth="1"/>
    <col min="13570" max="13570" width="15.5703125" style="643" customWidth="1"/>
    <col min="13571" max="13571" width="14.7109375" style="643" customWidth="1"/>
    <col min="13572" max="13572" width="21" style="643" customWidth="1"/>
    <col min="13573" max="13573" width="15.7109375" style="643" customWidth="1"/>
    <col min="13574" max="13574" width="16.28515625" style="643" customWidth="1"/>
    <col min="13575" max="13575" width="22" style="643" customWidth="1"/>
    <col min="13576" max="13576" width="17.42578125" style="643" customWidth="1"/>
    <col min="13577" max="13824" width="9.140625" style="643"/>
    <col min="13825" max="13825" width="8.28515625" style="643" customWidth="1"/>
    <col min="13826" max="13826" width="15.5703125" style="643" customWidth="1"/>
    <col min="13827" max="13827" width="14.7109375" style="643" customWidth="1"/>
    <col min="13828" max="13828" width="21" style="643" customWidth="1"/>
    <col min="13829" max="13829" width="15.7109375" style="643" customWidth="1"/>
    <col min="13830" max="13830" width="16.28515625" style="643" customWidth="1"/>
    <col min="13831" max="13831" width="22" style="643" customWidth="1"/>
    <col min="13832" max="13832" width="17.42578125" style="643" customWidth="1"/>
    <col min="13833" max="14080" width="9.140625" style="643"/>
    <col min="14081" max="14081" width="8.28515625" style="643" customWidth="1"/>
    <col min="14082" max="14082" width="15.5703125" style="643" customWidth="1"/>
    <col min="14083" max="14083" width="14.7109375" style="643" customWidth="1"/>
    <col min="14084" max="14084" width="21" style="643" customWidth="1"/>
    <col min="14085" max="14085" width="15.7109375" style="643" customWidth="1"/>
    <col min="14086" max="14086" width="16.28515625" style="643" customWidth="1"/>
    <col min="14087" max="14087" width="22" style="643" customWidth="1"/>
    <col min="14088" max="14088" width="17.42578125" style="643" customWidth="1"/>
    <col min="14089" max="14336" width="9.140625" style="643"/>
    <col min="14337" max="14337" width="8.28515625" style="643" customWidth="1"/>
    <col min="14338" max="14338" width="15.5703125" style="643" customWidth="1"/>
    <col min="14339" max="14339" width="14.7109375" style="643" customWidth="1"/>
    <col min="14340" max="14340" width="21" style="643" customWidth="1"/>
    <col min="14341" max="14341" width="15.7109375" style="643" customWidth="1"/>
    <col min="14342" max="14342" width="16.28515625" style="643" customWidth="1"/>
    <col min="14343" max="14343" width="22" style="643" customWidth="1"/>
    <col min="14344" max="14344" width="17.42578125" style="643" customWidth="1"/>
    <col min="14345" max="14592" width="9.140625" style="643"/>
    <col min="14593" max="14593" width="8.28515625" style="643" customWidth="1"/>
    <col min="14594" max="14594" width="15.5703125" style="643" customWidth="1"/>
    <col min="14595" max="14595" width="14.7109375" style="643" customWidth="1"/>
    <col min="14596" max="14596" width="21" style="643" customWidth="1"/>
    <col min="14597" max="14597" width="15.7109375" style="643" customWidth="1"/>
    <col min="14598" max="14598" width="16.28515625" style="643" customWidth="1"/>
    <col min="14599" max="14599" width="22" style="643" customWidth="1"/>
    <col min="14600" max="14600" width="17.42578125" style="643" customWidth="1"/>
    <col min="14601" max="14848" width="9.140625" style="643"/>
    <col min="14849" max="14849" width="8.28515625" style="643" customWidth="1"/>
    <col min="14850" max="14850" width="15.5703125" style="643" customWidth="1"/>
    <col min="14851" max="14851" width="14.7109375" style="643" customWidth="1"/>
    <col min="14852" max="14852" width="21" style="643" customWidth="1"/>
    <col min="14853" max="14853" width="15.7109375" style="643" customWidth="1"/>
    <col min="14854" max="14854" width="16.28515625" style="643" customWidth="1"/>
    <col min="14855" max="14855" width="22" style="643" customWidth="1"/>
    <col min="14856" max="14856" width="17.42578125" style="643" customWidth="1"/>
    <col min="14857" max="15104" width="9.140625" style="643"/>
    <col min="15105" max="15105" width="8.28515625" style="643" customWidth="1"/>
    <col min="15106" max="15106" width="15.5703125" style="643" customWidth="1"/>
    <col min="15107" max="15107" width="14.7109375" style="643" customWidth="1"/>
    <col min="15108" max="15108" width="21" style="643" customWidth="1"/>
    <col min="15109" max="15109" width="15.7109375" style="643" customWidth="1"/>
    <col min="15110" max="15110" width="16.28515625" style="643" customWidth="1"/>
    <col min="15111" max="15111" width="22" style="643" customWidth="1"/>
    <col min="15112" max="15112" width="17.42578125" style="643" customWidth="1"/>
    <col min="15113" max="15360" width="9.140625" style="643"/>
    <col min="15361" max="15361" width="8.28515625" style="643" customWidth="1"/>
    <col min="15362" max="15362" width="15.5703125" style="643" customWidth="1"/>
    <col min="15363" max="15363" width="14.7109375" style="643" customWidth="1"/>
    <col min="15364" max="15364" width="21" style="643" customWidth="1"/>
    <col min="15365" max="15365" width="15.7109375" style="643" customWidth="1"/>
    <col min="15366" max="15366" width="16.28515625" style="643" customWidth="1"/>
    <col min="15367" max="15367" width="22" style="643" customWidth="1"/>
    <col min="15368" max="15368" width="17.42578125" style="643" customWidth="1"/>
    <col min="15369" max="15616" width="9.140625" style="643"/>
    <col min="15617" max="15617" width="8.28515625" style="643" customWidth="1"/>
    <col min="15618" max="15618" width="15.5703125" style="643" customWidth="1"/>
    <col min="15619" max="15619" width="14.7109375" style="643" customWidth="1"/>
    <col min="15620" max="15620" width="21" style="643" customWidth="1"/>
    <col min="15621" max="15621" width="15.7109375" style="643" customWidth="1"/>
    <col min="15622" max="15622" width="16.28515625" style="643" customWidth="1"/>
    <col min="15623" max="15623" width="22" style="643" customWidth="1"/>
    <col min="15624" max="15624" width="17.42578125" style="643" customWidth="1"/>
    <col min="15625" max="15872" width="9.140625" style="643"/>
    <col min="15873" max="15873" width="8.28515625" style="643" customWidth="1"/>
    <col min="15874" max="15874" width="15.5703125" style="643" customWidth="1"/>
    <col min="15875" max="15875" width="14.7109375" style="643" customWidth="1"/>
    <col min="15876" max="15876" width="21" style="643" customWidth="1"/>
    <col min="15877" max="15877" width="15.7109375" style="643" customWidth="1"/>
    <col min="15878" max="15878" width="16.28515625" style="643" customWidth="1"/>
    <col min="15879" max="15879" width="22" style="643" customWidth="1"/>
    <col min="15880" max="15880" width="17.42578125" style="643" customWidth="1"/>
    <col min="15881" max="16128" width="9.140625" style="643"/>
    <col min="16129" max="16129" width="8.28515625" style="643" customWidth="1"/>
    <col min="16130" max="16130" width="15.5703125" style="643" customWidth="1"/>
    <col min="16131" max="16131" width="14.7109375" style="643" customWidth="1"/>
    <col min="16132" max="16132" width="21" style="643" customWidth="1"/>
    <col min="16133" max="16133" width="15.7109375" style="643" customWidth="1"/>
    <col min="16134" max="16134" width="16.28515625" style="643" customWidth="1"/>
    <col min="16135" max="16135" width="22" style="643" customWidth="1"/>
    <col min="16136" max="16136" width="17.42578125" style="643" customWidth="1"/>
    <col min="16137" max="16384" width="9.140625" style="643"/>
  </cols>
  <sheetData>
    <row r="1" spans="1:8" ht="18" x14ac:dyDescent="0.35">
      <c r="A1" s="1170" t="s">
        <v>0</v>
      </c>
      <c r="B1" s="1170"/>
      <c r="C1" s="1170"/>
      <c r="D1" s="1170"/>
      <c r="E1" s="1170"/>
      <c r="F1" s="1170"/>
      <c r="G1" s="1170"/>
      <c r="H1" s="644" t="s">
        <v>772</v>
      </c>
    </row>
    <row r="2" spans="1:8" ht="21" x14ac:dyDescent="0.35">
      <c r="A2" s="1171" t="s">
        <v>788</v>
      </c>
      <c r="B2" s="1171"/>
      <c r="C2" s="1171"/>
      <c r="D2" s="1171"/>
      <c r="E2" s="1171"/>
      <c r="F2" s="1171"/>
      <c r="G2" s="1171"/>
      <c r="H2" s="1171"/>
    </row>
    <row r="3" spans="1:8" ht="15" x14ac:dyDescent="0.3">
      <c r="A3" s="645"/>
      <c r="B3" s="645"/>
    </row>
    <row r="4" spans="1:8" ht="18" customHeight="1" x14ac:dyDescent="0.35">
      <c r="A4" s="1172" t="s">
        <v>861</v>
      </c>
      <c r="B4" s="1172"/>
      <c r="C4" s="1172"/>
      <c r="D4" s="1172"/>
      <c r="E4" s="1172"/>
      <c r="F4" s="1172"/>
      <c r="G4" s="1172"/>
      <c r="H4" s="1172"/>
    </row>
    <row r="5" spans="1:8" ht="15" x14ac:dyDescent="0.3">
      <c r="A5" s="646" t="s">
        <v>1085</v>
      </c>
      <c r="B5" s="646"/>
    </row>
    <row r="6" spans="1:8" ht="15" x14ac:dyDescent="0.3">
      <c r="A6" s="646"/>
      <c r="B6" s="646"/>
      <c r="F6" s="1314" t="s">
        <v>812</v>
      </c>
      <c r="G6" s="1314"/>
      <c r="H6" s="1314"/>
    </row>
    <row r="7" spans="1:8" ht="59.25" customHeight="1" x14ac:dyDescent="0.2">
      <c r="A7" s="827" t="s">
        <v>2</v>
      </c>
      <c r="B7" s="827" t="s">
        <v>3</v>
      </c>
      <c r="C7" s="650" t="s">
        <v>862</v>
      </c>
      <c r="D7" s="650" t="s">
        <v>863</v>
      </c>
      <c r="E7" s="650" t="s">
        <v>864</v>
      </c>
      <c r="F7" s="650" t="s">
        <v>865</v>
      </c>
      <c r="G7" s="828" t="s">
        <v>866</v>
      </c>
      <c r="H7" s="651" t="s">
        <v>867</v>
      </c>
    </row>
    <row r="8" spans="1:8" s="644" customFormat="1" ht="15" x14ac:dyDescent="0.25">
      <c r="A8" s="652" t="s">
        <v>287</v>
      </c>
      <c r="B8" s="652" t="s">
        <v>288</v>
      </c>
      <c r="C8" s="652" t="s">
        <v>289</v>
      </c>
      <c r="D8" s="652" t="s">
        <v>290</v>
      </c>
      <c r="E8" s="652" t="s">
        <v>291</v>
      </c>
      <c r="F8" s="652" t="s">
        <v>292</v>
      </c>
      <c r="G8" s="829" t="s">
        <v>293</v>
      </c>
      <c r="H8" s="830">
        <v>8</v>
      </c>
    </row>
    <row r="9" spans="1:8" s="644" customFormat="1" ht="19.5" customHeight="1" x14ac:dyDescent="0.25">
      <c r="A9" s="661">
        <v>1</v>
      </c>
      <c r="B9" s="661" t="s">
        <v>386</v>
      </c>
      <c r="C9" s="675">
        <v>2407</v>
      </c>
      <c r="D9" s="675">
        <v>2802</v>
      </c>
      <c r="E9" s="675">
        <v>12</v>
      </c>
      <c r="F9" s="1327" t="s">
        <v>905</v>
      </c>
      <c r="G9" s="1327" t="s">
        <v>907</v>
      </c>
      <c r="H9" s="1319" t="s">
        <v>906</v>
      </c>
    </row>
    <row r="10" spans="1:8" s="644" customFormat="1" ht="19.5" customHeight="1" x14ac:dyDescent="0.25">
      <c r="A10" s="661">
        <v>2</v>
      </c>
      <c r="B10" s="661" t="s">
        <v>387</v>
      </c>
      <c r="C10" s="675">
        <v>1101</v>
      </c>
      <c r="D10" s="675">
        <v>1171</v>
      </c>
      <c r="E10" s="675">
        <v>4</v>
      </c>
      <c r="F10" s="1316"/>
      <c r="G10" s="1316"/>
      <c r="H10" s="1320"/>
    </row>
    <row r="11" spans="1:8" s="644" customFormat="1" ht="19.5" customHeight="1" x14ac:dyDescent="0.25">
      <c r="A11" s="661">
        <v>3</v>
      </c>
      <c r="B11" s="661" t="s">
        <v>388</v>
      </c>
      <c r="C11" s="675">
        <v>1912</v>
      </c>
      <c r="D11" s="675">
        <v>2020</v>
      </c>
      <c r="E11" s="675">
        <v>10</v>
      </c>
      <c r="F11" s="1316"/>
      <c r="G11" s="1316"/>
      <c r="H11" s="1320"/>
    </row>
    <row r="12" spans="1:8" s="644" customFormat="1" ht="19.5" customHeight="1" x14ac:dyDescent="0.25">
      <c r="A12" s="661">
        <v>4</v>
      </c>
      <c r="B12" s="661" t="s">
        <v>389</v>
      </c>
      <c r="C12" s="675">
        <v>1046</v>
      </c>
      <c r="D12" s="675">
        <v>1119</v>
      </c>
      <c r="E12" s="675">
        <v>5</v>
      </c>
      <c r="F12" s="1316"/>
      <c r="G12" s="1316"/>
      <c r="H12" s="1320"/>
    </row>
    <row r="13" spans="1:8" s="644" customFormat="1" ht="19.5" customHeight="1" x14ac:dyDescent="0.25">
      <c r="A13" s="661">
        <v>5</v>
      </c>
      <c r="B13" s="661" t="s">
        <v>390</v>
      </c>
      <c r="C13" s="675">
        <v>2454</v>
      </c>
      <c r="D13" s="675">
        <v>2577</v>
      </c>
      <c r="E13" s="675">
        <v>7</v>
      </c>
      <c r="F13" s="1316"/>
      <c r="G13" s="1316"/>
      <c r="H13" s="1320"/>
    </row>
    <row r="14" spans="1:8" s="644" customFormat="1" ht="19.5" customHeight="1" x14ac:dyDescent="0.25">
      <c r="A14" s="661">
        <v>6</v>
      </c>
      <c r="B14" s="661" t="s">
        <v>391</v>
      </c>
      <c r="C14" s="675">
        <v>2481</v>
      </c>
      <c r="D14" s="675">
        <v>2351</v>
      </c>
      <c r="E14" s="675">
        <v>7</v>
      </c>
      <c r="F14" s="1316"/>
      <c r="G14" s="1316"/>
      <c r="H14" s="1320"/>
    </row>
    <row r="15" spans="1:8" s="644" customFormat="1" ht="19.5" customHeight="1" x14ac:dyDescent="0.25">
      <c r="A15" s="661">
        <v>7</v>
      </c>
      <c r="B15" s="661" t="s">
        <v>392</v>
      </c>
      <c r="C15" s="837">
        <v>2276</v>
      </c>
      <c r="D15" s="837">
        <v>2419</v>
      </c>
      <c r="E15" s="837">
        <v>9</v>
      </c>
      <c r="F15" s="1316"/>
      <c r="G15" s="1316"/>
      <c r="H15" s="1320"/>
    </row>
    <row r="16" spans="1:8" s="644" customFormat="1" ht="19.5" customHeight="1" x14ac:dyDescent="0.25">
      <c r="A16" s="661">
        <v>8</v>
      </c>
      <c r="B16" s="661" t="s">
        <v>393</v>
      </c>
      <c r="C16" s="683">
        <v>2747</v>
      </c>
      <c r="D16" s="683">
        <v>3293</v>
      </c>
      <c r="E16" s="683">
        <v>16</v>
      </c>
      <c r="F16" s="1316"/>
      <c r="G16" s="1316"/>
      <c r="H16" s="1320"/>
    </row>
    <row r="17" spans="1:13" ht="19.5" customHeight="1" x14ac:dyDescent="0.2">
      <c r="A17" s="793">
        <v>9</v>
      </c>
      <c r="B17" s="793" t="s">
        <v>394</v>
      </c>
      <c r="C17" s="676">
        <v>1988</v>
      </c>
      <c r="D17" s="676">
        <v>2027</v>
      </c>
      <c r="E17" s="676">
        <v>8</v>
      </c>
      <c r="F17" s="1316"/>
      <c r="G17" s="1316"/>
      <c r="H17" s="1320"/>
    </row>
    <row r="18" spans="1:13" ht="19.5" customHeight="1" x14ac:dyDescent="0.2">
      <c r="A18" s="793">
        <v>10</v>
      </c>
      <c r="B18" s="793" t="s">
        <v>395</v>
      </c>
      <c r="C18" s="676">
        <v>1123</v>
      </c>
      <c r="D18" s="676">
        <v>1252</v>
      </c>
      <c r="E18" s="676">
        <v>4</v>
      </c>
      <c r="F18" s="1316"/>
      <c r="G18" s="1316"/>
      <c r="H18" s="1320"/>
    </row>
    <row r="19" spans="1:13" ht="19.5" customHeight="1" x14ac:dyDescent="0.2">
      <c r="A19" s="793">
        <v>11</v>
      </c>
      <c r="B19" s="793" t="s">
        <v>396</v>
      </c>
      <c r="C19" s="676">
        <v>2719</v>
      </c>
      <c r="D19" s="676">
        <v>2992</v>
      </c>
      <c r="E19" s="676">
        <v>10</v>
      </c>
      <c r="F19" s="1316"/>
      <c r="G19" s="1316"/>
      <c r="H19" s="1320"/>
    </row>
    <row r="20" spans="1:13" ht="19.5" customHeight="1" x14ac:dyDescent="0.2">
      <c r="A20" s="793">
        <v>12</v>
      </c>
      <c r="B20" s="793" t="s">
        <v>397</v>
      </c>
      <c r="C20" s="676">
        <v>2784</v>
      </c>
      <c r="D20" s="676">
        <v>2856</v>
      </c>
      <c r="E20" s="676">
        <v>8</v>
      </c>
      <c r="F20" s="1316"/>
      <c r="G20" s="1316"/>
      <c r="H20" s="1320"/>
    </row>
    <row r="21" spans="1:13" ht="19.5" customHeight="1" x14ac:dyDescent="0.2">
      <c r="A21" s="793">
        <v>13</v>
      </c>
      <c r="B21" s="793" t="s">
        <v>398</v>
      </c>
      <c r="C21" s="676">
        <v>1494</v>
      </c>
      <c r="D21" s="676">
        <v>1692</v>
      </c>
      <c r="E21" s="676">
        <v>7</v>
      </c>
      <c r="F21" s="1317"/>
      <c r="G21" s="1317"/>
      <c r="H21" s="1321"/>
    </row>
    <row r="22" spans="1:13" ht="19.5" customHeight="1" x14ac:dyDescent="0.2">
      <c r="A22" s="1322" t="s">
        <v>18</v>
      </c>
      <c r="B22" s="1323"/>
      <c r="C22" s="839">
        <f>SUM(C9:C21)</f>
        <v>26532</v>
      </c>
      <c r="D22" s="839">
        <f t="shared" ref="D22:E22" si="0">SUM(D9:D21)</f>
        <v>28571</v>
      </c>
      <c r="E22" s="839">
        <f t="shared" si="0"/>
        <v>107</v>
      </c>
      <c r="F22" s="653"/>
      <c r="G22" s="831"/>
      <c r="H22" s="653"/>
    </row>
    <row r="23" spans="1:13" x14ac:dyDescent="0.2">
      <c r="A23" s="832"/>
    </row>
    <row r="26" spans="1:13" ht="15" customHeight="1" x14ac:dyDescent="0.2">
      <c r="A26" s="833"/>
      <c r="B26" s="833"/>
      <c r="C26" s="833"/>
      <c r="D26" s="833"/>
      <c r="E26" s="833"/>
      <c r="F26" s="1324" t="s">
        <v>12</v>
      </c>
      <c r="G26" s="1324"/>
      <c r="H26" s="834"/>
      <c r="I26" s="834"/>
    </row>
    <row r="27" spans="1:13" ht="15" customHeight="1" x14ac:dyDescent="0.2">
      <c r="A27" s="833"/>
      <c r="B27" s="833"/>
      <c r="C27" s="833"/>
      <c r="D27" s="833"/>
      <c r="E27" s="833"/>
      <c r="F27" s="1324" t="s">
        <v>13</v>
      </c>
      <c r="G27" s="1324"/>
      <c r="H27" s="834"/>
      <c r="I27" s="834"/>
    </row>
    <row r="28" spans="1:13" ht="15" customHeight="1" x14ac:dyDescent="0.2">
      <c r="A28" s="833"/>
      <c r="B28" s="833"/>
      <c r="C28" s="833"/>
      <c r="D28" s="833"/>
      <c r="E28" s="833"/>
      <c r="F28" s="1325" t="s">
        <v>87</v>
      </c>
      <c r="G28" s="1325"/>
      <c r="H28" s="1325"/>
      <c r="I28" s="1325"/>
    </row>
    <row r="29" spans="1:13" x14ac:dyDescent="0.2">
      <c r="A29" s="833" t="s">
        <v>11</v>
      </c>
      <c r="C29" s="833"/>
      <c r="D29" s="833"/>
      <c r="E29" s="833"/>
      <c r="F29" s="1326" t="s">
        <v>84</v>
      </c>
      <c r="G29" s="1326"/>
      <c r="H29" s="833"/>
      <c r="I29" s="833"/>
    </row>
    <row r="30" spans="1:13" x14ac:dyDescent="0.2">
      <c r="A30" s="833"/>
      <c r="B30" s="833"/>
      <c r="C30" s="833"/>
      <c r="D30" s="833"/>
      <c r="E30" s="833"/>
      <c r="F30" s="833"/>
      <c r="G30" s="833"/>
      <c r="H30" s="833"/>
      <c r="I30" s="833"/>
      <c r="J30" s="833"/>
      <c r="K30" s="833"/>
      <c r="L30" s="833"/>
      <c r="M30" s="833"/>
    </row>
  </sheetData>
  <mergeCells count="12">
    <mergeCell ref="F28:I28"/>
    <mergeCell ref="F29:G29"/>
    <mergeCell ref="A22:B22"/>
    <mergeCell ref="H9:H21"/>
    <mergeCell ref="G9:G21"/>
    <mergeCell ref="F9:F21"/>
    <mergeCell ref="A1:G1"/>
    <mergeCell ref="F6:H6"/>
    <mergeCell ref="F26:G26"/>
    <mergeCell ref="F27:G27"/>
    <mergeCell ref="A4:H4"/>
    <mergeCell ref="A2:H2"/>
  </mergeCells>
  <printOptions horizontalCentered="1"/>
  <pageMargins left="0.70866141732283472" right="0.70866141732283472" top="0.23622047244094491" bottom="0" header="0.31496062992125984" footer="0.31496062992125984"/>
  <pageSetup paperSize="9" scale="96"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5" tint="0.39997558519241921"/>
  </sheetPr>
  <dimension ref="A2:M30"/>
  <sheetViews>
    <sheetView view="pageBreakPreview" topLeftCell="A6" zoomScaleSheetLayoutView="100" workbookViewId="0">
      <selection activeCell="I20" sqref="I20"/>
    </sheetView>
  </sheetViews>
  <sheetFormatPr defaultRowHeight="12.75" x14ac:dyDescent="0.2"/>
  <cols>
    <col min="1" max="1" width="5.85546875" style="542" customWidth="1"/>
    <col min="2" max="2" width="15.28515625" style="542" customWidth="1"/>
    <col min="3" max="3" width="12.42578125" style="542" customWidth="1"/>
    <col min="4" max="4" width="14.5703125" style="542" customWidth="1"/>
    <col min="5" max="5" width="11.85546875" style="542" customWidth="1"/>
    <col min="6" max="6" width="12" style="542" customWidth="1"/>
    <col min="7" max="7" width="11.140625" style="542" customWidth="1"/>
    <col min="8" max="8" width="11.7109375" style="542" customWidth="1"/>
    <col min="9" max="9" width="13" style="542" customWidth="1"/>
    <col min="10" max="10" width="17.28515625" style="542" customWidth="1"/>
    <col min="11" max="11" width="17.42578125" style="542" customWidth="1"/>
    <col min="12" max="16384" width="9.140625" style="542"/>
  </cols>
  <sheetData>
    <row r="2" spans="1:11" ht="15" x14ac:dyDescent="0.2">
      <c r="D2" s="1340"/>
      <c r="E2" s="1340"/>
      <c r="H2" s="736"/>
      <c r="K2" s="737" t="s">
        <v>69</v>
      </c>
    </row>
    <row r="3" spans="1:11" ht="15" x14ac:dyDescent="0.2">
      <c r="A3" s="1337" t="s">
        <v>0</v>
      </c>
      <c r="B3" s="1337"/>
      <c r="C3" s="1337"/>
      <c r="D3" s="1337"/>
      <c r="E3" s="1337"/>
      <c r="F3" s="1337"/>
      <c r="G3" s="1337"/>
      <c r="H3" s="1337"/>
      <c r="I3" s="1337"/>
      <c r="J3" s="1337"/>
      <c r="K3" s="1337"/>
    </row>
    <row r="4" spans="1:11" ht="15.75" x14ac:dyDescent="0.25">
      <c r="A4" s="1338" t="s">
        <v>788</v>
      </c>
      <c r="B4" s="1338"/>
      <c r="C4" s="1338"/>
      <c r="D4" s="1338"/>
      <c r="E4" s="1338"/>
      <c r="F4" s="1338"/>
      <c r="G4" s="1338"/>
      <c r="H4" s="1338"/>
      <c r="I4" s="1338"/>
      <c r="J4" s="1338"/>
      <c r="K4" s="1338"/>
    </row>
    <row r="5" spans="1:11" ht="33.75" customHeight="1" x14ac:dyDescent="0.2">
      <c r="A5" s="1341" t="s">
        <v>506</v>
      </c>
      <c r="B5" s="1341"/>
      <c r="C5" s="1341"/>
      <c r="D5" s="1341"/>
      <c r="E5" s="1341"/>
      <c r="F5" s="1341"/>
      <c r="G5" s="1341"/>
      <c r="H5" s="1341"/>
      <c r="I5" s="1341"/>
      <c r="J5" s="1341"/>
      <c r="K5" s="1341"/>
    </row>
    <row r="6" spans="1:11" x14ac:dyDescent="0.2">
      <c r="A6" s="1342" t="s">
        <v>574</v>
      </c>
      <c r="B6" s="1342"/>
      <c r="C6" s="516"/>
      <c r="D6" s="516"/>
      <c r="E6" s="1343"/>
      <c r="F6" s="1343"/>
      <c r="G6" s="1343"/>
      <c r="H6" s="1343"/>
      <c r="I6" s="1343" t="s">
        <v>912</v>
      </c>
      <c r="J6" s="1343"/>
      <c r="K6" s="1343"/>
    </row>
    <row r="7" spans="1:11" ht="15.75" x14ac:dyDescent="0.25">
      <c r="A7" s="738"/>
      <c r="B7" s="738"/>
      <c r="C7" s="1337"/>
      <c r="D7" s="1337"/>
      <c r="E7" s="1337"/>
      <c r="F7" s="1337"/>
      <c r="G7" s="1337"/>
      <c r="H7" s="1337"/>
      <c r="I7" s="1337"/>
      <c r="J7" s="1337"/>
      <c r="K7" s="738"/>
    </row>
    <row r="8" spans="1:11" x14ac:dyDescent="0.2">
      <c r="A8" s="1335" t="s">
        <v>25</v>
      </c>
      <c r="B8" s="1335" t="s">
        <v>59</v>
      </c>
      <c r="C8" s="1218" t="s">
        <v>507</v>
      </c>
      <c r="D8" s="1220"/>
      <c r="E8" s="1218" t="s">
        <v>38</v>
      </c>
      <c r="F8" s="1220"/>
      <c r="G8" s="1218" t="s">
        <v>39</v>
      </c>
      <c r="H8" s="1220"/>
      <c r="I8" s="1339" t="s">
        <v>110</v>
      </c>
      <c r="J8" s="1339"/>
      <c r="K8" s="1333" t="s">
        <v>260</v>
      </c>
    </row>
    <row r="9" spans="1:11" ht="53.25" customHeight="1" x14ac:dyDescent="0.2">
      <c r="A9" s="1336"/>
      <c r="B9" s="1336"/>
      <c r="C9" s="1013" t="s">
        <v>40</v>
      </c>
      <c r="D9" s="1013" t="s">
        <v>109</v>
      </c>
      <c r="E9" s="1013" t="s">
        <v>40</v>
      </c>
      <c r="F9" s="1013" t="s">
        <v>109</v>
      </c>
      <c r="G9" s="1013" t="s">
        <v>40</v>
      </c>
      <c r="H9" s="1013" t="s">
        <v>109</v>
      </c>
      <c r="I9" s="1013" t="s">
        <v>781</v>
      </c>
      <c r="J9" s="1013" t="s">
        <v>146</v>
      </c>
      <c r="K9" s="1334"/>
    </row>
    <row r="10" spans="1:11" ht="18" customHeight="1" x14ac:dyDescent="0.2">
      <c r="A10" s="739">
        <v>1</v>
      </c>
      <c r="B10" s="739">
        <v>2</v>
      </c>
      <c r="C10" s="739">
        <v>3</v>
      </c>
      <c r="D10" s="739">
        <v>4</v>
      </c>
      <c r="E10" s="739">
        <v>5</v>
      </c>
      <c r="F10" s="739">
        <v>6</v>
      </c>
      <c r="G10" s="739">
        <v>7</v>
      </c>
      <c r="H10" s="739">
        <v>8</v>
      </c>
      <c r="I10" s="739">
        <v>9</v>
      </c>
      <c r="J10" s="739">
        <v>10</v>
      </c>
      <c r="K10" s="740">
        <v>11</v>
      </c>
    </row>
    <row r="11" spans="1:11" ht="18" customHeight="1" x14ac:dyDescent="0.2">
      <c r="A11" s="534">
        <v>1</v>
      </c>
      <c r="B11" s="741" t="s">
        <v>467</v>
      </c>
      <c r="C11" s="288">
        <v>4163</v>
      </c>
      <c r="D11" s="735">
        <v>2497.8000000000002</v>
      </c>
      <c r="E11" s="632">
        <v>4163</v>
      </c>
      <c r="F11" s="735">
        <v>2497.8000000000002</v>
      </c>
      <c r="G11" s="632">
        <v>0</v>
      </c>
      <c r="H11" s="735">
        <v>0</v>
      </c>
      <c r="I11" s="632">
        <v>0</v>
      </c>
      <c r="J11" s="735">
        <v>0</v>
      </c>
      <c r="K11" s="1330" t="s">
        <v>783</v>
      </c>
    </row>
    <row r="12" spans="1:11" ht="18" customHeight="1" x14ac:dyDescent="0.2">
      <c r="A12" s="534">
        <v>2</v>
      </c>
      <c r="B12" s="741" t="s">
        <v>468</v>
      </c>
      <c r="C12" s="333">
        <v>809</v>
      </c>
      <c r="D12" s="735">
        <v>485.4</v>
      </c>
      <c r="E12" s="333">
        <v>809</v>
      </c>
      <c r="F12" s="735">
        <v>485.4</v>
      </c>
      <c r="G12" s="632">
        <v>0</v>
      </c>
      <c r="H12" s="735">
        <v>0</v>
      </c>
      <c r="I12" s="632">
        <v>0</v>
      </c>
      <c r="J12" s="735">
        <v>0</v>
      </c>
      <c r="K12" s="1331"/>
    </row>
    <row r="13" spans="1:11" ht="18" customHeight="1" x14ac:dyDescent="0.2">
      <c r="A13" s="534">
        <v>3</v>
      </c>
      <c r="B13" s="741" t="s">
        <v>469</v>
      </c>
      <c r="C13" s="333">
        <v>0</v>
      </c>
      <c r="D13" s="735">
        <v>0</v>
      </c>
      <c r="E13" s="333">
        <v>0</v>
      </c>
      <c r="F13" s="735">
        <v>0</v>
      </c>
      <c r="G13" s="632">
        <v>0</v>
      </c>
      <c r="H13" s="735">
        <v>0</v>
      </c>
      <c r="I13" s="632">
        <v>0</v>
      </c>
      <c r="J13" s="735">
        <v>0</v>
      </c>
      <c r="K13" s="1331"/>
    </row>
    <row r="14" spans="1:11" ht="18" customHeight="1" x14ac:dyDescent="0.2">
      <c r="A14" s="534">
        <v>4</v>
      </c>
      <c r="B14" s="741" t="s">
        <v>508</v>
      </c>
      <c r="C14" s="340">
        <v>0</v>
      </c>
      <c r="D14" s="735">
        <v>0</v>
      </c>
      <c r="E14" s="633">
        <v>0</v>
      </c>
      <c r="F14" s="735">
        <v>0</v>
      </c>
      <c r="G14" s="632">
        <v>0</v>
      </c>
      <c r="H14" s="735">
        <v>0</v>
      </c>
      <c r="I14" s="632">
        <v>0</v>
      </c>
      <c r="J14" s="735">
        <v>0</v>
      </c>
      <c r="K14" s="1331"/>
    </row>
    <row r="15" spans="1:11" ht="18" customHeight="1" x14ac:dyDescent="0.2">
      <c r="A15" s="534">
        <v>5</v>
      </c>
      <c r="B15" s="741" t="s">
        <v>509</v>
      </c>
      <c r="C15" s="333">
        <v>3800</v>
      </c>
      <c r="D15" s="735">
        <v>3913.35</v>
      </c>
      <c r="E15" s="333">
        <v>3775</v>
      </c>
      <c r="F15" s="735">
        <v>3887.95</v>
      </c>
      <c r="G15" s="333">
        <v>1</v>
      </c>
      <c r="H15" s="735">
        <v>1.0125</v>
      </c>
      <c r="I15" s="333">
        <v>21</v>
      </c>
      <c r="J15" s="735">
        <v>24.39</v>
      </c>
      <c r="K15" s="1331"/>
    </row>
    <row r="16" spans="1:11" ht="18" customHeight="1" x14ac:dyDescent="0.2">
      <c r="A16" s="534">
        <v>6</v>
      </c>
      <c r="B16" s="741" t="s">
        <v>510</v>
      </c>
      <c r="C16" s="333">
        <v>4855</v>
      </c>
      <c r="D16" s="735">
        <v>4767.26</v>
      </c>
      <c r="E16" s="333">
        <v>4778</v>
      </c>
      <c r="F16" s="735">
        <v>4679.24</v>
      </c>
      <c r="G16" s="333">
        <v>10</v>
      </c>
      <c r="H16" s="735">
        <v>10.125</v>
      </c>
      <c r="I16" s="333">
        <v>79</v>
      </c>
      <c r="J16" s="735">
        <v>77.893500000000003</v>
      </c>
      <c r="K16" s="1331"/>
    </row>
    <row r="17" spans="1:13" ht="18" customHeight="1" x14ac:dyDescent="0.2">
      <c r="A17" s="534">
        <v>7</v>
      </c>
      <c r="B17" s="741" t="s">
        <v>251</v>
      </c>
      <c r="C17" s="333">
        <v>2267</v>
      </c>
      <c r="D17" s="735">
        <v>3285.92</v>
      </c>
      <c r="E17" s="333">
        <v>2084</v>
      </c>
      <c r="F17" s="735">
        <v>3017.13</v>
      </c>
      <c r="G17" s="333">
        <v>64</v>
      </c>
      <c r="H17" s="735">
        <v>91.702500000000001</v>
      </c>
      <c r="I17" s="333">
        <v>110</v>
      </c>
      <c r="J17" s="735">
        <v>177.08250000000001</v>
      </c>
      <c r="K17" s="1331"/>
    </row>
    <row r="18" spans="1:13" ht="18" customHeight="1" x14ac:dyDescent="0.2">
      <c r="A18" s="534">
        <v>8</v>
      </c>
      <c r="B18" s="741" t="s">
        <v>278</v>
      </c>
      <c r="C18" s="288">
        <v>39</v>
      </c>
      <c r="D18" s="735">
        <v>50.14</v>
      </c>
      <c r="E18" s="333">
        <v>30</v>
      </c>
      <c r="F18" s="735">
        <v>37.880000000000003</v>
      </c>
      <c r="G18" s="333">
        <v>8</v>
      </c>
      <c r="H18" s="735">
        <v>11.88</v>
      </c>
      <c r="I18" s="333">
        <v>1</v>
      </c>
      <c r="J18" s="735">
        <v>0.375</v>
      </c>
      <c r="K18" s="1331"/>
    </row>
    <row r="19" spans="1:13" ht="18" customHeight="1" x14ac:dyDescent="0.2">
      <c r="A19" s="534">
        <v>9</v>
      </c>
      <c r="B19" s="741" t="s">
        <v>465</v>
      </c>
      <c r="C19" s="288">
        <v>0</v>
      </c>
      <c r="D19" s="735">
        <v>0</v>
      </c>
      <c r="E19" s="632">
        <v>0</v>
      </c>
      <c r="F19" s="735">
        <v>0</v>
      </c>
      <c r="G19" s="632">
        <v>0</v>
      </c>
      <c r="H19" s="735">
        <v>0</v>
      </c>
      <c r="I19" s="333">
        <v>0</v>
      </c>
      <c r="J19" s="735">
        <v>0</v>
      </c>
      <c r="K19" s="1332"/>
    </row>
    <row r="20" spans="1:13" s="528" customFormat="1" ht="18" customHeight="1" x14ac:dyDescent="0.2">
      <c r="A20" s="742"/>
      <c r="B20" s="740" t="s">
        <v>18</v>
      </c>
      <c r="C20" s="417">
        <f>SUM(C11:C19)</f>
        <v>15933</v>
      </c>
      <c r="D20" s="417">
        <f t="shared" ref="D20:J20" si="0">SUM(D11:D19)</f>
        <v>14999.87</v>
      </c>
      <c r="E20" s="417">
        <f t="shared" si="0"/>
        <v>15639</v>
      </c>
      <c r="F20" s="743">
        <f t="shared" si="0"/>
        <v>14605.4</v>
      </c>
      <c r="G20" s="417">
        <f t="shared" si="0"/>
        <v>83</v>
      </c>
      <c r="H20" s="417">
        <f t="shared" si="0"/>
        <v>114.72</v>
      </c>
      <c r="I20" s="744">
        <f t="shared" si="0"/>
        <v>211</v>
      </c>
      <c r="J20" s="417">
        <f t="shared" si="0"/>
        <v>279.74099999999999</v>
      </c>
      <c r="K20" s="744">
        <v>628</v>
      </c>
      <c r="M20" s="542"/>
    </row>
    <row r="21" spans="1:13" s="528" customFormat="1" ht="13.5" customHeight="1" x14ac:dyDescent="0.2">
      <c r="A21" s="745"/>
      <c r="B21" s="745"/>
      <c r="C21" s="745"/>
      <c r="D21" s="745"/>
      <c r="E21" s="1005">
        <f>E20/C20</f>
        <v>0.98154773112408211</v>
      </c>
      <c r="F21" s="745"/>
      <c r="G21" s="1005">
        <f>G20/C20</f>
        <v>5.2093140023849868E-3</v>
      </c>
      <c r="H21" s="745"/>
      <c r="I21" s="1005">
        <f>I20/C20</f>
        <v>1.3242954873532919E-2</v>
      </c>
      <c r="J21" s="745"/>
      <c r="K21" s="745"/>
      <c r="M21" s="542"/>
    </row>
    <row r="22" spans="1:13" x14ac:dyDescent="0.2">
      <c r="A22" s="1328"/>
      <c r="B22" s="1329"/>
      <c r="C22" s="1329"/>
      <c r="D22" s="1329"/>
      <c r="E22" s="1329"/>
      <c r="F22" s="1329"/>
      <c r="G22" s="1329"/>
      <c r="H22" s="1329"/>
      <c r="I22" s="1329"/>
      <c r="J22" s="1329"/>
      <c r="K22" s="1329"/>
    </row>
    <row r="23" spans="1:13" ht="25.5" customHeight="1" x14ac:dyDescent="0.2">
      <c r="A23" s="1328"/>
      <c r="B23" s="1329"/>
      <c r="C23" s="1329"/>
      <c r="D23" s="1329"/>
      <c r="E23" s="1329"/>
      <c r="F23" s="1329"/>
      <c r="G23" s="1329"/>
      <c r="H23" s="1329"/>
      <c r="I23" s="1329"/>
      <c r="J23" s="1329"/>
      <c r="K23" s="1329"/>
    </row>
    <row r="24" spans="1:13" ht="15.75" customHeight="1" x14ac:dyDescent="0.2">
      <c r="A24" s="1344"/>
      <c r="B24" s="1344"/>
      <c r="C24" s="1344"/>
      <c r="D24" s="1344"/>
      <c r="E24" s="1344"/>
      <c r="F24" s="1344"/>
      <c r="G24" s="1344"/>
      <c r="H24" s="1344"/>
      <c r="I24" s="1344"/>
      <c r="J24" s="1344"/>
      <c r="K24" s="1344"/>
    </row>
    <row r="25" spans="1:13" ht="14.25" customHeight="1" x14ac:dyDescent="0.2">
      <c r="A25" s="746"/>
      <c r="B25" s="529"/>
      <c r="C25" s="529"/>
      <c r="D25" s="529"/>
      <c r="E25" s="529"/>
      <c r="F25" s="529"/>
      <c r="G25" s="529"/>
      <c r="H25" s="529"/>
      <c r="I25" s="1012"/>
      <c r="J25" s="1012"/>
      <c r="K25" s="529"/>
    </row>
    <row r="26" spans="1:13" ht="24.75" customHeight="1" x14ac:dyDescent="0.2">
      <c r="A26" s="1347"/>
      <c r="B26" s="1347"/>
      <c r="C26" s="1347"/>
      <c r="D26" s="1347"/>
      <c r="E26" s="1347"/>
      <c r="F26" s="1347"/>
      <c r="G26" s="1347"/>
      <c r="H26" s="1347"/>
      <c r="I26" s="1347"/>
      <c r="J26" s="1347"/>
      <c r="K26" s="1347"/>
    </row>
    <row r="27" spans="1:13" ht="10.5" customHeight="1" x14ac:dyDescent="0.2">
      <c r="A27" s="516"/>
      <c r="B27" s="529"/>
      <c r="C27" s="529"/>
      <c r="D27" s="529"/>
      <c r="E27" s="529"/>
      <c r="F27" s="529"/>
      <c r="G27" s="529"/>
      <c r="H27" s="529"/>
      <c r="J27" s="1346" t="s">
        <v>12</v>
      </c>
      <c r="K27" s="1346"/>
    </row>
    <row r="28" spans="1:13" ht="12.75" customHeight="1" x14ac:dyDescent="0.2">
      <c r="A28" s="1345" t="s">
        <v>13</v>
      </c>
      <c r="B28" s="1345"/>
      <c r="C28" s="1345"/>
      <c r="D28" s="1345"/>
      <c r="E28" s="1345"/>
      <c r="F28" s="1345"/>
      <c r="G28" s="1345"/>
      <c r="H28" s="1345"/>
      <c r="I28" s="1345"/>
      <c r="J28" s="1345"/>
      <c r="K28" s="1345"/>
    </row>
    <row r="29" spans="1:13" ht="12.75" customHeight="1" x14ac:dyDescent="0.2">
      <c r="A29" s="1345" t="s">
        <v>607</v>
      </c>
      <c r="B29" s="1345"/>
      <c r="C29" s="1345"/>
      <c r="D29" s="1345"/>
      <c r="E29" s="1345"/>
      <c r="F29" s="1345"/>
      <c r="G29" s="1345"/>
      <c r="H29" s="1345"/>
      <c r="I29" s="1345"/>
      <c r="J29" s="1345"/>
      <c r="K29" s="1345"/>
    </row>
    <row r="30" spans="1:13" x14ac:dyDescent="0.2">
      <c r="A30" s="528" t="s">
        <v>612</v>
      </c>
      <c r="B30" s="528"/>
      <c r="C30" s="528"/>
      <c r="D30" s="528"/>
      <c r="E30" s="528"/>
      <c r="F30" s="528"/>
      <c r="G30" s="516"/>
      <c r="I30" s="1340" t="s">
        <v>23</v>
      </c>
      <c r="J30" s="1340"/>
      <c r="K30" s="516"/>
    </row>
  </sheetData>
  <mergeCells count="24">
    <mergeCell ref="A24:K24"/>
    <mergeCell ref="A28:K28"/>
    <mergeCell ref="A29:K29"/>
    <mergeCell ref="J27:K27"/>
    <mergeCell ref="I30:J30"/>
    <mergeCell ref="A26:K26"/>
    <mergeCell ref="D2:E2"/>
    <mergeCell ref="A5:K5"/>
    <mergeCell ref="A6:B6"/>
    <mergeCell ref="E6:H6"/>
    <mergeCell ref="I6:K6"/>
    <mergeCell ref="C7:J7"/>
    <mergeCell ref="A3:K3"/>
    <mergeCell ref="A4:K4"/>
    <mergeCell ref="E8:F8"/>
    <mergeCell ref="G8:H8"/>
    <mergeCell ref="I8:J8"/>
    <mergeCell ref="A23:K23"/>
    <mergeCell ref="K11:K19"/>
    <mergeCell ref="K8:K9"/>
    <mergeCell ref="A22:K22"/>
    <mergeCell ref="A8:A9"/>
    <mergeCell ref="B8:B9"/>
    <mergeCell ref="C8:D8"/>
  </mergeCells>
  <printOptions horizontalCentered="1"/>
  <pageMargins left="0.38" right="0.36" top="0" bottom="0" header="0.26" footer="0.22"/>
  <pageSetup paperSize="9" scale="98"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39997558519241921"/>
    <pageSetUpPr fitToPage="1"/>
  </sheetPr>
  <dimension ref="A1:S34"/>
  <sheetViews>
    <sheetView view="pageBreakPreview" topLeftCell="A12" zoomScale="96" zoomScaleSheetLayoutView="96" workbookViewId="0">
      <selection activeCell="A26" sqref="A26:K26"/>
    </sheetView>
  </sheetViews>
  <sheetFormatPr defaultRowHeight="12.75" x14ac:dyDescent="0.2"/>
  <cols>
    <col min="1" max="1" width="7.42578125" style="1014" customWidth="1"/>
    <col min="2" max="2" width="15.7109375" style="1014" customWidth="1"/>
    <col min="3" max="3" width="16.28515625" style="1014" customWidth="1"/>
    <col min="4" max="4" width="15.85546875" style="1014" customWidth="1"/>
    <col min="5" max="5" width="11.5703125" style="1014" customWidth="1"/>
    <col min="6" max="6" width="15" style="1014" customWidth="1"/>
    <col min="7" max="7" width="10.7109375" style="1014" customWidth="1"/>
    <col min="8" max="8" width="15.140625" style="1014" customWidth="1"/>
    <col min="9" max="9" width="16.5703125" style="1014" customWidth="1"/>
    <col min="10" max="10" width="24" style="1014" customWidth="1"/>
    <col min="11" max="11" width="21.140625" style="1014" customWidth="1"/>
    <col min="12" max="16384" width="9.140625" style="1014"/>
  </cols>
  <sheetData>
    <row r="1" spans="1:19" ht="15" x14ac:dyDescent="0.2">
      <c r="D1" s="1037"/>
      <c r="E1" s="1037"/>
      <c r="H1" s="32"/>
      <c r="J1" s="32"/>
      <c r="K1" s="1007" t="s">
        <v>584</v>
      </c>
    </row>
    <row r="2" spans="1:19" ht="15" x14ac:dyDescent="0.2">
      <c r="A2" s="1152" t="s">
        <v>0</v>
      </c>
      <c r="B2" s="1152"/>
      <c r="C2" s="1152"/>
      <c r="D2" s="1152"/>
      <c r="E2" s="1152"/>
      <c r="F2" s="1152"/>
      <c r="G2" s="1152"/>
      <c r="H2" s="1152"/>
      <c r="I2" s="1152"/>
      <c r="J2" s="1152"/>
      <c r="K2" s="1152"/>
    </row>
    <row r="3" spans="1:19" ht="18" x14ac:dyDescent="0.25">
      <c r="A3" s="1231" t="s">
        <v>788</v>
      </c>
      <c r="B3" s="1231"/>
      <c r="C3" s="1231"/>
      <c r="D3" s="1231"/>
      <c r="E3" s="1231"/>
      <c r="F3" s="1231"/>
      <c r="G3" s="1231"/>
      <c r="H3" s="1231"/>
      <c r="I3" s="1231"/>
      <c r="J3" s="1231"/>
      <c r="K3" s="1231"/>
      <c r="L3" s="69"/>
      <c r="M3" s="69"/>
      <c r="N3" s="69"/>
      <c r="O3" s="69"/>
      <c r="P3" s="69"/>
      <c r="Q3" s="69"/>
    </row>
    <row r="4" spans="1:19" s="1011" customFormat="1" ht="15.75" customHeight="1" x14ac:dyDescent="0.25">
      <c r="A4" s="1348" t="s">
        <v>585</v>
      </c>
      <c r="B4" s="1348"/>
      <c r="C4" s="1348"/>
      <c r="D4" s="1348"/>
      <c r="E4" s="1348"/>
      <c r="F4" s="1348"/>
      <c r="G4" s="1348"/>
      <c r="H4" s="1348"/>
      <c r="I4" s="1348"/>
      <c r="J4" s="1348"/>
      <c r="K4" s="1348"/>
    </row>
    <row r="5" spans="1:19" s="1011" customFormat="1" ht="15.75" customHeight="1" x14ac:dyDescent="0.25">
      <c r="A5" s="35"/>
      <c r="B5" s="35"/>
      <c r="C5" s="35"/>
      <c r="D5" s="35"/>
      <c r="E5" s="35"/>
      <c r="F5" s="35"/>
      <c r="G5" s="35"/>
      <c r="H5" s="35"/>
      <c r="I5" s="35"/>
      <c r="J5" s="35"/>
    </row>
    <row r="6" spans="1:19" s="451" customFormat="1" ht="12" x14ac:dyDescent="0.2">
      <c r="A6" s="1240" t="s">
        <v>456</v>
      </c>
      <c r="B6" s="1240"/>
      <c r="C6" s="1240"/>
      <c r="E6" s="1349"/>
      <c r="F6" s="1349"/>
      <c r="G6" s="1349"/>
      <c r="H6" s="1349"/>
      <c r="K6" s="450" t="s">
        <v>913</v>
      </c>
    </row>
    <row r="7" spans="1:19" s="10" customFormat="1" ht="15.75" hidden="1" x14ac:dyDescent="0.25">
      <c r="C7" s="1152" t="s">
        <v>15</v>
      </c>
      <c r="D7" s="1152"/>
      <c r="E7" s="1152"/>
      <c r="F7" s="1152"/>
      <c r="G7" s="1152"/>
      <c r="H7" s="1152"/>
      <c r="I7" s="1152"/>
      <c r="J7" s="1152"/>
    </row>
    <row r="8" spans="1:19" ht="44.25" customHeight="1" x14ac:dyDescent="0.2">
      <c r="A8" s="1136" t="s">
        <v>25</v>
      </c>
      <c r="B8" s="1136" t="s">
        <v>37</v>
      </c>
      <c r="C8" s="1165" t="s">
        <v>914</v>
      </c>
      <c r="D8" s="1167"/>
      <c r="E8" s="1165" t="s">
        <v>38</v>
      </c>
      <c r="F8" s="1167"/>
      <c r="G8" s="1165" t="s">
        <v>39</v>
      </c>
      <c r="H8" s="1167"/>
      <c r="I8" s="1145" t="s">
        <v>110</v>
      </c>
      <c r="J8" s="1145"/>
      <c r="K8" s="1136" t="s">
        <v>260</v>
      </c>
      <c r="R8" s="6"/>
      <c r="S8" s="9"/>
    </row>
    <row r="9" spans="1:19" s="11" customFormat="1" ht="42.6" customHeight="1" x14ac:dyDescent="0.2">
      <c r="A9" s="1137"/>
      <c r="B9" s="1137"/>
      <c r="C9" s="1008" t="s">
        <v>40</v>
      </c>
      <c r="D9" s="1008" t="s">
        <v>472</v>
      </c>
      <c r="E9" s="1008" t="s">
        <v>40</v>
      </c>
      <c r="F9" s="1008" t="s">
        <v>472</v>
      </c>
      <c r="G9" s="1008" t="s">
        <v>40</v>
      </c>
      <c r="H9" s="1008" t="s">
        <v>473</v>
      </c>
      <c r="I9" s="1008" t="s">
        <v>145</v>
      </c>
      <c r="J9" s="1008" t="s">
        <v>146</v>
      </c>
      <c r="K9" s="1137"/>
    </row>
    <row r="10" spans="1:19" x14ac:dyDescent="0.2">
      <c r="A10" s="246">
        <v>1</v>
      </c>
      <c r="B10" s="246">
        <v>2</v>
      </c>
      <c r="C10" s="246">
        <v>3</v>
      </c>
      <c r="D10" s="246">
        <v>4</v>
      </c>
      <c r="E10" s="246">
        <v>5</v>
      </c>
      <c r="F10" s="246">
        <v>6</v>
      </c>
      <c r="G10" s="246">
        <v>7</v>
      </c>
      <c r="H10" s="246">
        <v>8</v>
      </c>
      <c r="I10" s="246">
        <v>9</v>
      </c>
      <c r="J10" s="246">
        <v>10</v>
      </c>
      <c r="K10" s="1009">
        <v>11</v>
      </c>
      <c r="M10" s="11"/>
      <c r="N10" s="11"/>
      <c r="O10" s="11"/>
      <c r="P10" s="11"/>
    </row>
    <row r="11" spans="1:19" s="542" customFormat="1" ht="24.95" customHeight="1" x14ac:dyDescent="0.2">
      <c r="A11" s="417">
        <v>1</v>
      </c>
      <c r="B11" s="523" t="s">
        <v>386</v>
      </c>
      <c r="C11" s="333">
        <v>1757</v>
      </c>
      <c r="D11" s="541">
        <v>1691.64</v>
      </c>
      <c r="E11" s="333">
        <v>1722</v>
      </c>
      <c r="F11" s="541">
        <v>1639.07</v>
      </c>
      <c r="G11" s="333">
        <v>16</v>
      </c>
      <c r="H11" s="541">
        <v>23.76</v>
      </c>
      <c r="I11" s="332">
        <v>19</v>
      </c>
      <c r="J11" s="541">
        <v>28.81</v>
      </c>
      <c r="K11" s="288">
        <v>27</v>
      </c>
      <c r="L11" s="1014"/>
      <c r="M11" s="11"/>
      <c r="N11" s="11"/>
      <c r="O11" s="11"/>
      <c r="P11" s="11"/>
    </row>
    <row r="12" spans="1:19" s="542" customFormat="1" ht="24.95" customHeight="1" x14ac:dyDescent="0.2">
      <c r="A12" s="417">
        <v>2</v>
      </c>
      <c r="B12" s="523" t="s">
        <v>387</v>
      </c>
      <c r="C12" s="333">
        <v>754</v>
      </c>
      <c r="D12" s="541">
        <v>748.68</v>
      </c>
      <c r="E12" s="333">
        <v>741</v>
      </c>
      <c r="F12" s="541">
        <v>731.77</v>
      </c>
      <c r="G12" s="333">
        <v>2</v>
      </c>
      <c r="H12" s="541">
        <v>2.0299999999999998</v>
      </c>
      <c r="I12" s="332">
        <v>11</v>
      </c>
      <c r="J12" s="541">
        <v>14.89</v>
      </c>
      <c r="K12" s="288">
        <v>22</v>
      </c>
      <c r="L12" s="1014"/>
      <c r="M12" s="11"/>
      <c r="N12" s="11"/>
      <c r="O12" s="11"/>
      <c r="P12" s="11"/>
    </row>
    <row r="13" spans="1:19" s="542" customFormat="1" ht="24.95" customHeight="1" x14ac:dyDescent="0.2">
      <c r="A13" s="417">
        <v>3</v>
      </c>
      <c r="B13" s="523" t="s">
        <v>388</v>
      </c>
      <c r="C13" s="333">
        <v>1249</v>
      </c>
      <c r="D13" s="541">
        <v>1203.3399999999999</v>
      </c>
      <c r="E13" s="333">
        <v>1236</v>
      </c>
      <c r="F13" s="541">
        <v>1187.98</v>
      </c>
      <c r="G13" s="333">
        <v>12</v>
      </c>
      <c r="H13" s="541">
        <v>17.82</v>
      </c>
      <c r="I13" s="332">
        <v>1</v>
      </c>
      <c r="J13" s="541">
        <v>-2.46</v>
      </c>
      <c r="K13" s="288">
        <v>40</v>
      </c>
      <c r="L13" s="1014"/>
      <c r="M13" s="11"/>
      <c r="N13" s="11"/>
      <c r="O13" s="11"/>
      <c r="P13" s="11"/>
    </row>
    <row r="14" spans="1:19" s="542" customFormat="1" ht="24.95" customHeight="1" x14ac:dyDescent="0.2">
      <c r="A14" s="417">
        <v>4</v>
      </c>
      <c r="B14" s="523" t="s">
        <v>389</v>
      </c>
      <c r="C14" s="333">
        <v>672</v>
      </c>
      <c r="D14" s="541">
        <v>666.15</v>
      </c>
      <c r="E14" s="333">
        <v>642</v>
      </c>
      <c r="F14" s="541">
        <v>626.79999999999995</v>
      </c>
      <c r="G14" s="333">
        <v>0</v>
      </c>
      <c r="H14" s="541">
        <v>0</v>
      </c>
      <c r="I14" s="332">
        <v>30</v>
      </c>
      <c r="J14" s="541">
        <v>39.35</v>
      </c>
      <c r="K14" s="288">
        <v>31</v>
      </c>
      <c r="L14" s="1014"/>
      <c r="M14" s="11"/>
      <c r="N14" s="11"/>
      <c r="O14" s="11"/>
      <c r="P14" s="11"/>
    </row>
    <row r="15" spans="1:19" s="542" customFormat="1" ht="24.95" customHeight="1" x14ac:dyDescent="0.2">
      <c r="A15" s="417">
        <v>5</v>
      </c>
      <c r="B15" s="523" t="s">
        <v>390</v>
      </c>
      <c r="C15" s="333">
        <v>1200</v>
      </c>
      <c r="D15" s="541">
        <v>1059.79</v>
      </c>
      <c r="E15" s="333">
        <v>1192</v>
      </c>
      <c r="F15" s="541">
        <v>1049.3499999999999</v>
      </c>
      <c r="G15" s="333">
        <v>8</v>
      </c>
      <c r="H15" s="541">
        <v>10.44</v>
      </c>
      <c r="I15" s="332">
        <v>0</v>
      </c>
      <c r="J15" s="541">
        <v>0</v>
      </c>
      <c r="K15" s="288">
        <v>90</v>
      </c>
      <c r="L15" s="1014"/>
      <c r="M15" s="11"/>
      <c r="N15" s="11"/>
      <c r="O15" s="11"/>
      <c r="P15" s="11"/>
    </row>
    <row r="16" spans="1:19" s="542" customFormat="1" ht="24.95" customHeight="1" x14ac:dyDescent="0.2">
      <c r="A16" s="417">
        <v>6</v>
      </c>
      <c r="B16" s="523" t="s">
        <v>391</v>
      </c>
      <c r="C16" s="333">
        <v>914</v>
      </c>
      <c r="D16" s="541">
        <v>841.06</v>
      </c>
      <c r="E16" s="333">
        <v>891</v>
      </c>
      <c r="F16" s="541">
        <v>818.47</v>
      </c>
      <c r="G16" s="333">
        <v>9</v>
      </c>
      <c r="H16" s="541">
        <v>11.61</v>
      </c>
      <c r="I16" s="332">
        <v>14</v>
      </c>
      <c r="J16" s="541">
        <v>10.98</v>
      </c>
      <c r="K16" s="288">
        <v>36</v>
      </c>
      <c r="L16" s="1014"/>
      <c r="M16" s="11"/>
      <c r="N16" s="11"/>
      <c r="O16" s="11"/>
      <c r="P16" s="11"/>
    </row>
    <row r="17" spans="1:16" s="542" customFormat="1" ht="24.95" customHeight="1" x14ac:dyDescent="0.2">
      <c r="A17" s="417">
        <v>7</v>
      </c>
      <c r="B17" s="523" t="s">
        <v>392</v>
      </c>
      <c r="C17" s="333">
        <v>1318</v>
      </c>
      <c r="D17" s="541">
        <v>1211.8599999999999</v>
      </c>
      <c r="E17" s="333">
        <v>1315</v>
      </c>
      <c r="F17" s="541">
        <v>1208.82</v>
      </c>
      <c r="G17" s="333">
        <v>3</v>
      </c>
      <c r="H17" s="541">
        <v>3.04</v>
      </c>
      <c r="I17" s="332">
        <v>0</v>
      </c>
      <c r="J17" s="541">
        <v>0</v>
      </c>
      <c r="K17" s="288">
        <v>69</v>
      </c>
      <c r="L17" s="1014"/>
      <c r="M17" s="11"/>
      <c r="N17" s="11"/>
      <c r="O17" s="11"/>
      <c r="P17" s="11"/>
    </row>
    <row r="18" spans="1:16" s="542" customFormat="1" ht="24.95" customHeight="1" x14ac:dyDescent="0.2">
      <c r="A18" s="417">
        <v>8</v>
      </c>
      <c r="B18" s="523" t="s">
        <v>393</v>
      </c>
      <c r="C18" s="333">
        <v>1950</v>
      </c>
      <c r="D18" s="541">
        <v>1815.46</v>
      </c>
      <c r="E18" s="333">
        <v>1909</v>
      </c>
      <c r="F18" s="541">
        <v>1753.62</v>
      </c>
      <c r="G18" s="333">
        <v>6</v>
      </c>
      <c r="H18" s="541">
        <v>8.91</v>
      </c>
      <c r="I18" s="332">
        <v>35</v>
      </c>
      <c r="J18" s="541">
        <v>52.93</v>
      </c>
      <c r="K18" s="288">
        <v>22</v>
      </c>
      <c r="L18" s="1014"/>
      <c r="M18" s="11"/>
      <c r="N18" s="11"/>
      <c r="O18" s="11"/>
      <c r="P18" s="11"/>
    </row>
    <row r="19" spans="1:16" s="542" customFormat="1" ht="24.95" customHeight="1" x14ac:dyDescent="0.2">
      <c r="A19" s="417">
        <v>9</v>
      </c>
      <c r="B19" s="523" t="s">
        <v>394</v>
      </c>
      <c r="C19" s="333">
        <v>1428</v>
      </c>
      <c r="D19" s="541">
        <v>1384.43</v>
      </c>
      <c r="E19" s="333">
        <v>1427</v>
      </c>
      <c r="F19" s="541">
        <v>1383.42</v>
      </c>
      <c r="G19" s="333">
        <v>1</v>
      </c>
      <c r="H19" s="541">
        <v>1.01</v>
      </c>
      <c r="I19" s="332">
        <v>0</v>
      </c>
      <c r="J19" s="541">
        <v>0</v>
      </c>
      <c r="K19" s="288">
        <v>66</v>
      </c>
      <c r="L19" s="1014"/>
      <c r="M19" s="11"/>
      <c r="N19" s="11"/>
      <c r="O19" s="11"/>
      <c r="P19" s="11"/>
    </row>
    <row r="20" spans="1:16" s="542" customFormat="1" ht="24.95" customHeight="1" x14ac:dyDescent="0.2">
      <c r="A20" s="417">
        <v>10</v>
      </c>
      <c r="B20" s="523" t="s">
        <v>395</v>
      </c>
      <c r="C20" s="333">
        <v>733</v>
      </c>
      <c r="D20" s="541">
        <v>733.78</v>
      </c>
      <c r="E20" s="333">
        <v>716</v>
      </c>
      <c r="F20" s="541">
        <v>715.55</v>
      </c>
      <c r="G20" s="333">
        <v>8</v>
      </c>
      <c r="H20" s="541">
        <v>11.41</v>
      </c>
      <c r="I20" s="332">
        <v>9</v>
      </c>
      <c r="J20" s="541">
        <v>6.82</v>
      </c>
      <c r="K20" s="288">
        <v>54</v>
      </c>
      <c r="L20" s="1014"/>
      <c r="M20" s="11"/>
      <c r="N20" s="11"/>
      <c r="O20" s="11"/>
      <c r="P20" s="11"/>
    </row>
    <row r="21" spans="1:16" s="542" customFormat="1" ht="24.95" customHeight="1" x14ac:dyDescent="0.2">
      <c r="A21" s="417">
        <v>11</v>
      </c>
      <c r="B21" s="523" t="s">
        <v>396</v>
      </c>
      <c r="C21" s="333">
        <v>1898</v>
      </c>
      <c r="D21" s="541">
        <v>1742.54</v>
      </c>
      <c r="E21" s="333">
        <v>1823</v>
      </c>
      <c r="F21" s="541">
        <v>1647.15</v>
      </c>
      <c r="G21" s="333">
        <v>9</v>
      </c>
      <c r="H21" s="541">
        <v>12.89</v>
      </c>
      <c r="I21" s="332">
        <v>66</v>
      </c>
      <c r="J21" s="541">
        <v>82.5</v>
      </c>
      <c r="K21" s="288">
        <v>72</v>
      </c>
      <c r="L21" s="1014"/>
      <c r="M21" s="11"/>
      <c r="N21" s="11"/>
      <c r="O21" s="11"/>
      <c r="P21" s="11"/>
    </row>
    <row r="22" spans="1:16" s="542" customFormat="1" ht="24.95" customHeight="1" x14ac:dyDescent="0.2">
      <c r="A22" s="417">
        <v>12</v>
      </c>
      <c r="B22" s="523" t="s">
        <v>397</v>
      </c>
      <c r="C22" s="333">
        <v>1134</v>
      </c>
      <c r="D22" s="541">
        <v>1091.3800000000001</v>
      </c>
      <c r="E22" s="333">
        <v>1100</v>
      </c>
      <c r="F22" s="541">
        <v>1035.1199999999999</v>
      </c>
      <c r="G22" s="333">
        <v>8</v>
      </c>
      <c r="H22" s="541">
        <v>10.31</v>
      </c>
      <c r="I22" s="332">
        <v>26</v>
      </c>
      <c r="J22" s="541">
        <v>45.92</v>
      </c>
      <c r="K22" s="288">
        <v>46</v>
      </c>
      <c r="L22" s="1014"/>
      <c r="M22" s="11"/>
      <c r="N22" s="11"/>
      <c r="O22" s="11"/>
      <c r="P22" s="11"/>
    </row>
    <row r="23" spans="1:16" s="542" customFormat="1" ht="24.95" customHeight="1" x14ac:dyDescent="0.2">
      <c r="A23" s="417">
        <v>13</v>
      </c>
      <c r="B23" s="523" t="s">
        <v>398</v>
      </c>
      <c r="C23" s="333">
        <v>926</v>
      </c>
      <c r="D23" s="541">
        <v>809.76</v>
      </c>
      <c r="E23" s="333">
        <v>925</v>
      </c>
      <c r="F23" s="541">
        <v>808.28</v>
      </c>
      <c r="G23" s="333">
        <v>1</v>
      </c>
      <c r="H23" s="541">
        <v>1.49</v>
      </c>
      <c r="I23" s="332">
        <v>0</v>
      </c>
      <c r="J23" s="541">
        <v>0</v>
      </c>
      <c r="K23" s="288">
        <v>53</v>
      </c>
      <c r="L23" s="1014"/>
      <c r="M23" s="11"/>
      <c r="N23" s="11"/>
      <c r="O23" s="11"/>
      <c r="P23" s="11"/>
    </row>
    <row r="24" spans="1:16" s="20" customFormat="1" ht="24.95" customHeight="1" x14ac:dyDescent="0.2">
      <c r="A24" s="1009" t="s">
        <v>18</v>
      </c>
      <c r="B24" s="1009"/>
      <c r="C24" s="1009">
        <f t="shared" ref="C24:K24" si="0">SUM(C11:C23)</f>
        <v>15933</v>
      </c>
      <c r="D24" s="198">
        <f t="shared" si="0"/>
        <v>14999.87</v>
      </c>
      <c r="E24" s="1009">
        <f t="shared" si="0"/>
        <v>15639</v>
      </c>
      <c r="F24" s="198">
        <f t="shared" si="0"/>
        <v>14605.4</v>
      </c>
      <c r="G24" s="1009">
        <f t="shared" si="0"/>
        <v>83</v>
      </c>
      <c r="H24" s="1009">
        <f t="shared" si="0"/>
        <v>114.72</v>
      </c>
      <c r="I24" s="1009">
        <f t="shared" si="0"/>
        <v>211</v>
      </c>
      <c r="J24" s="198">
        <f t="shared" si="0"/>
        <v>279.74</v>
      </c>
      <c r="K24" s="1009">
        <f t="shared" si="0"/>
        <v>628</v>
      </c>
      <c r="L24" s="1014"/>
      <c r="M24" s="11"/>
      <c r="N24" s="11"/>
      <c r="O24" s="11"/>
      <c r="P24" s="11"/>
    </row>
    <row r="25" spans="1:16" s="9" customFormat="1" x14ac:dyDescent="0.2">
      <c r="A25" s="1328"/>
      <c r="B25" s="1350"/>
      <c r="C25" s="1350"/>
      <c r="D25" s="1350"/>
      <c r="E25" s="1350"/>
      <c r="F25" s="1350"/>
      <c r="G25" s="1350"/>
      <c r="H25" s="1350"/>
      <c r="I25" s="1350"/>
      <c r="J25" s="1350"/>
      <c r="K25" s="1350"/>
      <c r="M25" s="11"/>
      <c r="N25" s="11"/>
      <c r="O25" s="11"/>
      <c r="P25" s="11"/>
    </row>
    <row r="26" spans="1:16" s="9" customFormat="1" ht="30" customHeight="1" x14ac:dyDescent="0.2">
      <c r="A26" s="1328"/>
      <c r="B26" s="1350"/>
      <c r="C26" s="1350"/>
      <c r="D26" s="1350"/>
      <c r="E26" s="1350"/>
      <c r="F26" s="1350"/>
      <c r="G26" s="1350"/>
      <c r="H26" s="1350"/>
      <c r="I26" s="1350"/>
      <c r="J26" s="1350"/>
      <c r="K26" s="1350"/>
      <c r="M26" s="11"/>
      <c r="N26" s="11"/>
      <c r="O26" s="11"/>
      <c r="P26" s="11"/>
    </row>
    <row r="27" spans="1:16" s="9" customFormat="1" ht="33.75" customHeight="1" x14ac:dyDescent="0.2">
      <c r="A27" s="1344"/>
      <c r="B27" s="1344"/>
      <c r="C27" s="1344"/>
      <c r="D27" s="1344"/>
      <c r="E27" s="1344"/>
      <c r="F27" s="1344"/>
      <c r="G27" s="1344"/>
      <c r="H27" s="1344"/>
      <c r="I27" s="1344"/>
      <c r="J27" s="1344"/>
      <c r="K27" s="1344"/>
      <c r="M27" s="11"/>
      <c r="N27" s="11"/>
      <c r="O27" s="11"/>
      <c r="P27" s="11"/>
    </row>
    <row r="28" spans="1:16" s="9" customFormat="1" x14ac:dyDescent="0.2">
      <c r="A28" s="7"/>
    </row>
    <row r="29" spans="1:16" s="1011" customFormat="1" ht="13.9" customHeight="1" x14ac:dyDescent="0.2">
      <c r="B29" s="1010"/>
      <c r="C29" s="1010"/>
      <c r="D29" s="1010"/>
      <c r="E29" s="1010"/>
      <c r="F29" s="9"/>
      <c r="G29" s="1010"/>
      <c r="H29" s="1010"/>
      <c r="J29" s="1073" t="s">
        <v>12</v>
      </c>
      <c r="K29" s="1073"/>
      <c r="L29" s="1010"/>
      <c r="M29" s="1010"/>
      <c r="N29" s="1010"/>
      <c r="O29" s="1010"/>
      <c r="P29" s="1010"/>
    </row>
    <row r="30" spans="1:16" s="1011" customFormat="1" ht="13.15" customHeight="1" x14ac:dyDescent="0.2">
      <c r="A30" s="1161" t="s">
        <v>13</v>
      </c>
      <c r="B30" s="1161"/>
      <c r="C30" s="1161"/>
      <c r="D30" s="1161"/>
      <c r="E30" s="1161"/>
      <c r="F30" s="1161"/>
      <c r="G30" s="1161"/>
      <c r="H30" s="1161"/>
      <c r="I30" s="1161"/>
      <c r="J30" s="1161"/>
      <c r="K30" s="1161"/>
      <c r="L30" s="1010"/>
      <c r="M30" s="1010"/>
      <c r="N30" s="1010"/>
      <c r="O30" s="1010"/>
      <c r="P30" s="1010"/>
    </row>
    <row r="31" spans="1:16" s="1011" customFormat="1" ht="13.15" customHeight="1" x14ac:dyDescent="0.2">
      <c r="A31" s="1161" t="s">
        <v>613</v>
      </c>
      <c r="B31" s="1161"/>
      <c r="C31" s="1161"/>
      <c r="D31" s="1161"/>
      <c r="E31" s="1161"/>
      <c r="F31" s="1161"/>
      <c r="G31" s="1161"/>
      <c r="H31" s="1161"/>
      <c r="I31" s="1161"/>
      <c r="J31" s="1161"/>
      <c r="K31" s="1161"/>
      <c r="L31" s="1010"/>
      <c r="M31" s="1010"/>
      <c r="N31" s="1010"/>
      <c r="O31" s="1010"/>
      <c r="P31" s="1010"/>
    </row>
    <row r="32" spans="1:16" s="1011" customFormat="1" x14ac:dyDescent="0.2">
      <c r="A32" s="11" t="s">
        <v>610</v>
      </c>
      <c r="B32" s="11"/>
      <c r="C32" s="11"/>
      <c r="D32" s="11"/>
      <c r="E32" s="11"/>
      <c r="F32" s="11"/>
      <c r="I32" s="24"/>
      <c r="J32" s="24" t="s">
        <v>23</v>
      </c>
    </row>
    <row r="33" spans="1:10" s="1011" customFormat="1" x14ac:dyDescent="0.2">
      <c r="A33" s="11"/>
    </row>
    <row r="34" spans="1:10" x14ac:dyDescent="0.2">
      <c r="A34" s="1149"/>
      <c r="B34" s="1149"/>
      <c r="C34" s="1149"/>
      <c r="D34" s="1149"/>
      <c r="E34" s="1149"/>
      <c r="F34" s="1149"/>
      <c r="G34" s="1149"/>
      <c r="H34" s="1149"/>
      <c r="I34" s="1149"/>
      <c r="J34" s="1149"/>
    </row>
  </sheetData>
  <mergeCells count="21">
    <mergeCell ref="A30:K30"/>
    <mergeCell ref="A31:K31"/>
    <mergeCell ref="J29:K29"/>
    <mergeCell ref="C7:J7"/>
    <mergeCell ref="A34:J34"/>
    <mergeCell ref="E8:F8"/>
    <mergeCell ref="C8:D8"/>
    <mergeCell ref="I8:J8"/>
    <mergeCell ref="A8:A9"/>
    <mergeCell ref="B8:B9"/>
    <mergeCell ref="A25:K25"/>
    <mergeCell ref="A26:K26"/>
    <mergeCell ref="A27:K27"/>
    <mergeCell ref="D1:E1"/>
    <mergeCell ref="A6:C6"/>
    <mergeCell ref="K8:K9"/>
    <mergeCell ref="A2:K2"/>
    <mergeCell ref="A3:K3"/>
    <mergeCell ref="A4:K4"/>
    <mergeCell ref="G8:H8"/>
    <mergeCell ref="E6:H6"/>
  </mergeCells>
  <phoneticPr fontId="0" type="noConversion"/>
  <printOptions horizontalCentered="1"/>
  <pageMargins left="0.53" right="0.5" top="0.23622047244094491" bottom="0" header="0.31496062992125984" footer="0.31496062992125984"/>
  <pageSetup paperSize="9" scale="81"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39997558519241921"/>
    <pageSetUpPr fitToPage="1"/>
  </sheetPr>
  <dimension ref="A2:S35"/>
  <sheetViews>
    <sheetView view="pageBreakPreview" topLeftCell="A12" zoomScale="90" zoomScaleSheetLayoutView="90" workbookViewId="0">
      <selection activeCell="F27" sqref="F27"/>
    </sheetView>
  </sheetViews>
  <sheetFormatPr defaultRowHeight="12.75" x14ac:dyDescent="0.2"/>
  <cols>
    <col min="2" max="2" width="19" customWidth="1"/>
    <col min="3" max="3" width="16.28515625" customWidth="1"/>
    <col min="4" max="4" width="15.85546875" customWidth="1"/>
    <col min="5" max="5" width="9.28515625" customWidth="1"/>
    <col min="6" max="6" width="13.5703125" customWidth="1"/>
    <col min="7" max="7" width="9.7109375" customWidth="1"/>
    <col min="8" max="8" width="10.42578125" customWidth="1"/>
    <col min="9" max="9" width="15.28515625" customWidth="1"/>
    <col min="10" max="10" width="19.28515625" customWidth="1"/>
    <col min="11" max="11" width="23.42578125" customWidth="1"/>
  </cols>
  <sheetData>
    <row r="2" spans="1:19" ht="15" customHeight="1" x14ac:dyDescent="0.2">
      <c r="D2" s="1037"/>
      <c r="E2" s="1037"/>
      <c r="H2" s="32"/>
      <c r="J2" s="1353" t="s">
        <v>70</v>
      </c>
      <c r="K2" s="1353"/>
    </row>
    <row r="3" spans="1:19" ht="15" x14ac:dyDescent="0.2">
      <c r="A3" s="1152" t="s">
        <v>0</v>
      </c>
      <c r="B3" s="1152"/>
      <c r="C3" s="1152"/>
      <c r="D3" s="1152"/>
      <c r="E3" s="1152"/>
      <c r="F3" s="1152"/>
      <c r="G3" s="1152"/>
      <c r="H3" s="1152"/>
      <c r="I3" s="1152"/>
      <c r="J3" s="1152"/>
      <c r="K3" s="1152"/>
    </row>
    <row r="4" spans="1:19" ht="15.75" x14ac:dyDescent="0.25">
      <c r="A4" s="1131" t="s">
        <v>788</v>
      </c>
      <c r="B4" s="1131"/>
      <c r="C4" s="1131"/>
      <c r="D4" s="1131"/>
      <c r="E4" s="1131"/>
      <c r="F4" s="1131"/>
      <c r="G4" s="1131"/>
      <c r="H4" s="1131"/>
      <c r="I4" s="1131"/>
      <c r="J4" s="1131"/>
      <c r="K4" s="1131"/>
      <c r="L4" s="69"/>
      <c r="M4" s="69"/>
      <c r="N4" s="69"/>
      <c r="O4" s="69"/>
      <c r="P4" s="69"/>
      <c r="Q4" s="69"/>
    </row>
    <row r="5" spans="1:19" s="12" customFormat="1" ht="18.75" customHeight="1" x14ac:dyDescent="0.2">
      <c r="A5" s="1354" t="s">
        <v>222</v>
      </c>
      <c r="B5" s="1354"/>
      <c r="C5" s="1354"/>
      <c r="D5" s="1354"/>
      <c r="E5" s="1354"/>
      <c r="F5" s="1354"/>
      <c r="G5" s="1354"/>
      <c r="H5" s="1354"/>
      <c r="I5" s="1354"/>
      <c r="J5" s="1354"/>
      <c r="K5" s="1354"/>
      <c r="L5" s="183"/>
    </row>
    <row r="6" spans="1:19" s="12" customFormat="1" ht="15.75" customHeight="1" x14ac:dyDescent="0.25">
      <c r="A6" s="35"/>
      <c r="B6" s="35"/>
      <c r="C6" s="35"/>
      <c r="D6" s="35"/>
      <c r="E6" s="35"/>
      <c r="F6" s="35"/>
      <c r="G6" s="35"/>
      <c r="H6" s="35"/>
      <c r="I6" s="35"/>
      <c r="J6" s="35"/>
    </row>
    <row r="7" spans="1:19" s="12" customFormat="1" x14ac:dyDescent="0.2">
      <c r="A7" s="1075" t="s">
        <v>456</v>
      </c>
      <c r="B7" s="1075"/>
      <c r="C7" s="1075"/>
      <c r="J7" s="24"/>
      <c r="K7" s="24" t="s">
        <v>913</v>
      </c>
    </row>
    <row r="8" spans="1:19" s="10" customFormat="1" ht="15.75" hidden="1" x14ac:dyDescent="0.25">
      <c r="C8" s="1152" t="s">
        <v>15</v>
      </c>
      <c r="D8" s="1152"/>
      <c r="E8" s="1152"/>
      <c r="F8" s="1152"/>
      <c r="G8" s="1152"/>
      <c r="H8" s="1152"/>
      <c r="I8" s="1152"/>
      <c r="J8" s="1152"/>
    </row>
    <row r="9" spans="1:19" ht="53.25" customHeight="1" x14ac:dyDescent="0.2">
      <c r="A9" s="1136" t="s">
        <v>25</v>
      </c>
      <c r="B9" s="1136" t="s">
        <v>37</v>
      </c>
      <c r="C9" s="1165" t="s">
        <v>915</v>
      </c>
      <c r="D9" s="1167"/>
      <c r="E9" s="1165" t="s">
        <v>692</v>
      </c>
      <c r="F9" s="1167"/>
      <c r="G9" s="1165" t="s">
        <v>39</v>
      </c>
      <c r="H9" s="1167"/>
      <c r="I9" s="1145" t="s">
        <v>110</v>
      </c>
      <c r="J9" s="1145"/>
      <c r="K9" s="1136" t="s">
        <v>261</v>
      </c>
      <c r="R9" s="6"/>
      <c r="S9" s="9"/>
    </row>
    <row r="10" spans="1:19" s="11" customFormat="1" ht="46.5" customHeight="1" x14ac:dyDescent="0.2">
      <c r="A10" s="1137"/>
      <c r="B10" s="1137"/>
      <c r="C10" s="189" t="s">
        <v>40</v>
      </c>
      <c r="D10" s="189" t="s">
        <v>109</v>
      </c>
      <c r="E10" s="189" t="s">
        <v>40</v>
      </c>
      <c r="F10" s="189" t="s">
        <v>109</v>
      </c>
      <c r="G10" s="189" t="s">
        <v>40</v>
      </c>
      <c r="H10" s="189" t="s">
        <v>109</v>
      </c>
      <c r="I10" s="189" t="s">
        <v>145</v>
      </c>
      <c r="J10" s="189" t="s">
        <v>146</v>
      </c>
      <c r="K10" s="1137"/>
    </row>
    <row r="11" spans="1:19" x14ac:dyDescent="0.2">
      <c r="A11" s="212">
        <v>1</v>
      </c>
      <c r="B11" s="212">
        <v>2</v>
      </c>
      <c r="C11" s="212">
        <v>3</v>
      </c>
      <c r="D11" s="212">
        <v>4</v>
      </c>
      <c r="E11" s="212">
        <v>5</v>
      </c>
      <c r="F11" s="212">
        <v>6</v>
      </c>
      <c r="G11" s="212">
        <v>7</v>
      </c>
      <c r="H11" s="212">
        <v>8</v>
      </c>
      <c r="I11" s="212">
        <v>9</v>
      </c>
      <c r="J11" s="212">
        <v>10</v>
      </c>
      <c r="K11" s="212">
        <v>11</v>
      </c>
      <c r="M11" s="11"/>
      <c r="N11" s="11"/>
    </row>
    <row r="12" spans="1:19" ht="24.95" customHeight="1" x14ac:dyDescent="0.2">
      <c r="A12" s="188">
        <v>1</v>
      </c>
      <c r="B12" s="219" t="s">
        <v>386</v>
      </c>
      <c r="C12" s="212">
        <v>1974</v>
      </c>
      <c r="D12" s="247">
        <f>C12*5000/100000</f>
        <v>98.7</v>
      </c>
      <c r="E12" s="212">
        <v>1974</v>
      </c>
      <c r="F12" s="212">
        <f>E12*5000/100000</f>
        <v>98.7</v>
      </c>
      <c r="G12" s="212">
        <v>0</v>
      </c>
      <c r="H12" s="247">
        <f>G12*5000/100000</f>
        <v>0</v>
      </c>
      <c r="I12" s="212">
        <f>C12-E12-G12</f>
        <v>0</v>
      </c>
      <c r="J12" s="247">
        <f>D12-F12-H12</f>
        <v>0</v>
      </c>
      <c r="K12" s="1249" t="s">
        <v>10</v>
      </c>
      <c r="M12" s="11"/>
      <c r="N12" s="11"/>
    </row>
    <row r="13" spans="1:19" ht="24.95" customHeight="1" x14ac:dyDescent="0.2">
      <c r="A13" s="188">
        <v>2</v>
      </c>
      <c r="B13" s="219" t="s">
        <v>387</v>
      </c>
      <c r="C13" s="212">
        <v>840</v>
      </c>
      <c r="D13" s="247">
        <f t="shared" ref="D13:D24" si="0">C13*5000/100000</f>
        <v>42</v>
      </c>
      <c r="E13" s="212">
        <v>840</v>
      </c>
      <c r="F13" s="212">
        <f t="shared" ref="F13:F24" si="1">E13*5000/100000</f>
        <v>42</v>
      </c>
      <c r="G13" s="212">
        <v>0</v>
      </c>
      <c r="H13" s="247">
        <f t="shared" ref="H13:H24" si="2">G13*5000/100000</f>
        <v>0</v>
      </c>
      <c r="I13" s="212">
        <f t="shared" ref="I13:I24" si="3">C13-E13-G13</f>
        <v>0</v>
      </c>
      <c r="J13" s="247">
        <f t="shared" ref="J13:J24" si="4">D13-F13-H13</f>
        <v>0</v>
      </c>
      <c r="K13" s="1351"/>
      <c r="M13" s="11"/>
      <c r="N13" s="11"/>
    </row>
    <row r="14" spans="1:19" ht="24.95" customHeight="1" x14ac:dyDescent="0.2">
      <c r="A14" s="188">
        <v>3</v>
      </c>
      <c r="B14" s="219" t="s">
        <v>388</v>
      </c>
      <c r="C14" s="212">
        <v>1474</v>
      </c>
      <c r="D14" s="247">
        <f t="shared" si="0"/>
        <v>73.7</v>
      </c>
      <c r="E14" s="212">
        <v>1474</v>
      </c>
      <c r="F14" s="212">
        <f t="shared" si="1"/>
        <v>73.7</v>
      </c>
      <c r="G14" s="212">
        <v>0</v>
      </c>
      <c r="H14" s="247">
        <f t="shared" si="2"/>
        <v>0</v>
      </c>
      <c r="I14" s="212">
        <f t="shared" si="3"/>
        <v>0</v>
      </c>
      <c r="J14" s="247">
        <f t="shared" si="4"/>
        <v>0</v>
      </c>
      <c r="K14" s="1351"/>
      <c r="M14" s="11"/>
      <c r="N14" s="11"/>
    </row>
    <row r="15" spans="1:19" ht="24.95" customHeight="1" x14ac:dyDescent="0.2">
      <c r="A15" s="188">
        <v>4</v>
      </c>
      <c r="B15" s="219" t="s">
        <v>389</v>
      </c>
      <c r="C15" s="212">
        <v>728</v>
      </c>
      <c r="D15" s="247">
        <f t="shared" si="0"/>
        <v>36.4</v>
      </c>
      <c r="E15" s="212">
        <v>728</v>
      </c>
      <c r="F15" s="212">
        <f t="shared" si="1"/>
        <v>36.4</v>
      </c>
      <c r="G15" s="212">
        <v>0</v>
      </c>
      <c r="H15" s="247">
        <f t="shared" si="2"/>
        <v>0</v>
      </c>
      <c r="I15" s="212">
        <f t="shared" si="3"/>
        <v>0</v>
      </c>
      <c r="J15" s="247">
        <f t="shared" si="4"/>
        <v>0</v>
      </c>
      <c r="K15" s="1351"/>
      <c r="M15" s="11"/>
      <c r="N15" s="11"/>
    </row>
    <row r="16" spans="1:19" ht="24.95" customHeight="1" x14ac:dyDescent="0.2">
      <c r="A16" s="188">
        <v>5</v>
      </c>
      <c r="B16" s="221" t="s">
        <v>390</v>
      </c>
      <c r="C16" s="212">
        <v>1428</v>
      </c>
      <c r="D16" s="247">
        <f t="shared" si="0"/>
        <v>71.400000000000006</v>
      </c>
      <c r="E16" s="212">
        <v>1428</v>
      </c>
      <c r="F16" s="212">
        <f t="shared" si="1"/>
        <v>71.400000000000006</v>
      </c>
      <c r="G16" s="212">
        <v>0</v>
      </c>
      <c r="H16" s="247">
        <f t="shared" si="2"/>
        <v>0</v>
      </c>
      <c r="I16" s="212">
        <f t="shared" si="3"/>
        <v>0</v>
      </c>
      <c r="J16" s="247">
        <f t="shared" si="4"/>
        <v>0</v>
      </c>
      <c r="K16" s="1351"/>
      <c r="M16" s="11"/>
      <c r="N16" s="11"/>
    </row>
    <row r="17" spans="1:14" ht="24.95" customHeight="1" x14ac:dyDescent="0.2">
      <c r="A17" s="188">
        <v>6</v>
      </c>
      <c r="B17" s="219" t="s">
        <v>391</v>
      </c>
      <c r="C17" s="212">
        <v>1031</v>
      </c>
      <c r="D17" s="247">
        <f t="shared" si="0"/>
        <v>51.55</v>
      </c>
      <c r="E17" s="212">
        <v>1031</v>
      </c>
      <c r="F17" s="212">
        <f t="shared" si="1"/>
        <v>51.55</v>
      </c>
      <c r="G17" s="212">
        <v>0</v>
      </c>
      <c r="H17" s="247">
        <f t="shared" si="2"/>
        <v>0</v>
      </c>
      <c r="I17" s="212">
        <f t="shared" si="3"/>
        <v>0</v>
      </c>
      <c r="J17" s="247">
        <f t="shared" si="4"/>
        <v>0</v>
      </c>
      <c r="K17" s="1351"/>
      <c r="M17" s="11"/>
      <c r="N17" s="11"/>
    </row>
    <row r="18" spans="1:14" ht="24.95" customHeight="1" x14ac:dyDescent="0.2">
      <c r="A18" s="188">
        <v>7</v>
      </c>
      <c r="B18" s="221" t="s">
        <v>392</v>
      </c>
      <c r="C18" s="212">
        <v>1442</v>
      </c>
      <c r="D18" s="247">
        <f t="shared" si="0"/>
        <v>72.099999999999994</v>
      </c>
      <c r="E18" s="212">
        <v>1442</v>
      </c>
      <c r="F18" s="212">
        <f t="shared" si="1"/>
        <v>72.099999999999994</v>
      </c>
      <c r="G18" s="212">
        <v>0</v>
      </c>
      <c r="H18" s="247">
        <f t="shared" si="2"/>
        <v>0</v>
      </c>
      <c r="I18" s="212">
        <f t="shared" si="3"/>
        <v>0</v>
      </c>
      <c r="J18" s="247">
        <f t="shared" si="4"/>
        <v>0</v>
      </c>
      <c r="K18" s="1351"/>
      <c r="M18" s="11"/>
      <c r="N18" s="11"/>
    </row>
    <row r="19" spans="1:14" ht="24.95" customHeight="1" x14ac:dyDescent="0.2">
      <c r="A19" s="188">
        <v>8</v>
      </c>
      <c r="B19" s="219" t="s">
        <v>393</v>
      </c>
      <c r="C19" s="212">
        <v>2380</v>
      </c>
      <c r="D19" s="247">
        <f t="shared" si="0"/>
        <v>119</v>
      </c>
      <c r="E19" s="212">
        <v>2380</v>
      </c>
      <c r="F19" s="212">
        <f t="shared" si="1"/>
        <v>119</v>
      </c>
      <c r="G19" s="212">
        <v>0</v>
      </c>
      <c r="H19" s="247">
        <f t="shared" si="2"/>
        <v>0</v>
      </c>
      <c r="I19" s="212">
        <f t="shared" si="3"/>
        <v>0</v>
      </c>
      <c r="J19" s="247">
        <f t="shared" si="4"/>
        <v>0</v>
      </c>
      <c r="K19" s="1351"/>
      <c r="M19" s="11"/>
      <c r="N19" s="11"/>
    </row>
    <row r="20" spans="1:14" ht="24.95" customHeight="1" x14ac:dyDescent="0.2">
      <c r="A20" s="188">
        <v>9</v>
      </c>
      <c r="B20" s="219" t="s">
        <v>394</v>
      </c>
      <c r="C20" s="212">
        <v>1687</v>
      </c>
      <c r="D20" s="247">
        <f t="shared" si="0"/>
        <v>84.35</v>
      </c>
      <c r="E20" s="212">
        <v>1687</v>
      </c>
      <c r="F20" s="212">
        <f t="shared" si="1"/>
        <v>84.35</v>
      </c>
      <c r="G20" s="212">
        <v>0</v>
      </c>
      <c r="H20" s="247">
        <f t="shared" si="2"/>
        <v>0</v>
      </c>
      <c r="I20" s="212">
        <f t="shared" si="3"/>
        <v>0</v>
      </c>
      <c r="J20" s="247">
        <f t="shared" si="4"/>
        <v>0</v>
      </c>
      <c r="K20" s="1351"/>
      <c r="M20" s="11"/>
      <c r="N20" s="11"/>
    </row>
    <row r="21" spans="1:14" ht="24.95" customHeight="1" x14ac:dyDescent="0.2">
      <c r="A21" s="188">
        <v>10</v>
      </c>
      <c r="B21" s="219" t="s">
        <v>395</v>
      </c>
      <c r="C21" s="212">
        <v>835</v>
      </c>
      <c r="D21" s="247">
        <f t="shared" si="0"/>
        <v>41.75</v>
      </c>
      <c r="E21" s="212">
        <v>835</v>
      </c>
      <c r="F21" s="212">
        <f t="shared" si="1"/>
        <v>41.75</v>
      </c>
      <c r="G21" s="212">
        <v>0</v>
      </c>
      <c r="H21" s="247">
        <f t="shared" si="2"/>
        <v>0</v>
      </c>
      <c r="I21" s="212">
        <f t="shared" si="3"/>
        <v>0</v>
      </c>
      <c r="J21" s="247">
        <f t="shared" si="4"/>
        <v>0</v>
      </c>
      <c r="K21" s="1351"/>
      <c r="M21" s="11"/>
      <c r="N21" s="11"/>
    </row>
    <row r="22" spans="1:14" ht="24.95" customHeight="1" x14ac:dyDescent="0.2">
      <c r="A22" s="188">
        <v>11</v>
      </c>
      <c r="B22" s="219" t="s">
        <v>396</v>
      </c>
      <c r="C22" s="212">
        <v>2115</v>
      </c>
      <c r="D22" s="247">
        <f t="shared" si="0"/>
        <v>105.75</v>
      </c>
      <c r="E22" s="212">
        <v>2115</v>
      </c>
      <c r="F22" s="212">
        <f t="shared" si="1"/>
        <v>105.75</v>
      </c>
      <c r="G22" s="212">
        <v>0</v>
      </c>
      <c r="H22" s="247">
        <f t="shared" si="2"/>
        <v>0</v>
      </c>
      <c r="I22" s="212">
        <f t="shared" si="3"/>
        <v>0</v>
      </c>
      <c r="J22" s="247">
        <f t="shared" si="4"/>
        <v>0</v>
      </c>
      <c r="K22" s="1351"/>
      <c r="M22" s="11"/>
      <c r="N22" s="11"/>
    </row>
    <row r="23" spans="1:14" ht="24.95" customHeight="1" x14ac:dyDescent="0.2">
      <c r="A23" s="188">
        <v>12</v>
      </c>
      <c r="B23" s="219" t="s">
        <v>397</v>
      </c>
      <c r="C23" s="212">
        <v>1185</v>
      </c>
      <c r="D23" s="247">
        <f t="shared" si="0"/>
        <v>59.25</v>
      </c>
      <c r="E23" s="212">
        <v>1185</v>
      </c>
      <c r="F23" s="212">
        <f t="shared" si="1"/>
        <v>59.25</v>
      </c>
      <c r="G23" s="212">
        <v>0</v>
      </c>
      <c r="H23" s="247">
        <f t="shared" si="2"/>
        <v>0</v>
      </c>
      <c r="I23" s="212">
        <f t="shared" si="3"/>
        <v>0</v>
      </c>
      <c r="J23" s="247">
        <f t="shared" si="4"/>
        <v>0</v>
      </c>
      <c r="K23" s="1351"/>
      <c r="M23" s="11"/>
      <c r="N23" s="11"/>
    </row>
    <row r="24" spans="1:14" s="9" customFormat="1" ht="24.95" customHeight="1" x14ac:dyDescent="0.2">
      <c r="A24" s="188">
        <v>13</v>
      </c>
      <c r="B24" s="219" t="s">
        <v>398</v>
      </c>
      <c r="C24" s="212">
        <v>1080</v>
      </c>
      <c r="D24" s="247">
        <f t="shared" si="0"/>
        <v>54</v>
      </c>
      <c r="E24" s="212">
        <v>1080</v>
      </c>
      <c r="F24" s="212">
        <f t="shared" si="1"/>
        <v>54</v>
      </c>
      <c r="G24" s="212">
        <v>0</v>
      </c>
      <c r="H24" s="247">
        <f t="shared" si="2"/>
        <v>0</v>
      </c>
      <c r="I24" s="212">
        <f t="shared" si="3"/>
        <v>0</v>
      </c>
      <c r="J24" s="247">
        <f t="shared" si="4"/>
        <v>0</v>
      </c>
      <c r="K24" s="1352"/>
      <c r="M24" s="11"/>
      <c r="N24" s="11"/>
    </row>
    <row r="25" spans="1:14" s="20" customFormat="1" ht="24.95" customHeight="1" x14ac:dyDescent="0.2">
      <c r="A25" s="188" t="s">
        <v>18</v>
      </c>
      <c r="B25" s="188"/>
      <c r="C25" s="188">
        <f>SUM(C12:C24)</f>
        <v>18199</v>
      </c>
      <c r="D25" s="188">
        <f t="shared" ref="D25:J25" si="5">SUM(D12:D24)</f>
        <v>909.95</v>
      </c>
      <c r="E25" s="188">
        <f t="shared" si="5"/>
        <v>18199</v>
      </c>
      <c r="F25" s="188">
        <f t="shared" si="5"/>
        <v>909.95</v>
      </c>
      <c r="G25" s="188">
        <f t="shared" si="5"/>
        <v>0</v>
      </c>
      <c r="H25" s="198">
        <f t="shared" si="5"/>
        <v>0</v>
      </c>
      <c r="I25" s="188">
        <f t="shared" si="5"/>
        <v>0</v>
      </c>
      <c r="J25" s="198">
        <f t="shared" si="5"/>
        <v>0</v>
      </c>
      <c r="K25" s="188"/>
      <c r="M25" s="11"/>
      <c r="N25" s="11"/>
    </row>
    <row r="26" spans="1:14" s="9" customFormat="1" x14ac:dyDescent="0.2">
      <c r="A26" s="7" t="s">
        <v>41</v>
      </c>
    </row>
    <row r="27" spans="1:14" s="9" customFormat="1" x14ac:dyDescent="0.2">
      <c r="A27" s="7"/>
      <c r="E27" s="980">
        <f>E25/C25</f>
        <v>1</v>
      </c>
    </row>
    <row r="28" spans="1:14" ht="15.75" customHeight="1" x14ac:dyDescent="0.2">
      <c r="C28" s="11"/>
      <c r="D28" s="180"/>
      <c r="E28" s="180"/>
      <c r="F28" s="180"/>
    </row>
    <row r="29" spans="1:14" x14ac:dyDescent="0.2">
      <c r="A29" s="1149"/>
      <c r="B29" s="1149"/>
      <c r="C29" s="1149"/>
      <c r="D29" s="1149"/>
      <c r="E29" s="1149"/>
      <c r="F29" s="1149"/>
      <c r="G29" s="1149"/>
      <c r="H29" s="1149"/>
      <c r="I29" s="1149"/>
      <c r="J29" s="1149"/>
    </row>
    <row r="30" spans="1:14" x14ac:dyDescent="0.2">
      <c r="A30" s="7"/>
      <c r="B30" s="9"/>
      <c r="C30" s="9"/>
      <c r="D30" s="9"/>
      <c r="E30" s="9"/>
      <c r="F30" s="9"/>
      <c r="G30" s="9"/>
      <c r="H30" s="9"/>
      <c r="I30" s="9"/>
      <c r="J30" s="9"/>
      <c r="K30" s="9"/>
    </row>
    <row r="31" spans="1:14" x14ac:dyDescent="0.2">
      <c r="A31" s="12"/>
      <c r="B31" s="54"/>
      <c r="C31" s="54"/>
      <c r="D31" s="54"/>
      <c r="E31" s="54"/>
      <c r="F31" s="54"/>
      <c r="G31" s="54"/>
      <c r="H31" s="54"/>
      <c r="I31" s="12"/>
      <c r="J31" s="1073" t="s">
        <v>12</v>
      </c>
      <c r="K31" s="1073"/>
    </row>
    <row r="32" spans="1:14" x14ac:dyDescent="0.2">
      <c r="A32" s="1161" t="s">
        <v>13</v>
      </c>
      <c r="B32" s="1161"/>
      <c r="C32" s="1161"/>
      <c r="D32" s="1161"/>
      <c r="E32" s="1161"/>
      <c r="F32" s="1161"/>
      <c r="G32" s="1161"/>
      <c r="H32" s="1161"/>
      <c r="I32" s="1161"/>
      <c r="J32" s="1161"/>
      <c r="K32" s="1161"/>
    </row>
    <row r="33" spans="1:11" x14ac:dyDescent="0.2">
      <c r="A33" s="1161" t="s">
        <v>613</v>
      </c>
      <c r="B33" s="1161"/>
      <c r="C33" s="1161"/>
      <c r="D33" s="1161"/>
      <c r="E33" s="1161"/>
      <c r="F33" s="1161"/>
      <c r="G33" s="1161"/>
      <c r="H33" s="1161"/>
      <c r="I33" s="1161"/>
      <c r="J33" s="1161"/>
      <c r="K33" s="1161"/>
    </row>
    <row r="34" spans="1:11" x14ac:dyDescent="0.2">
      <c r="A34" s="11" t="s">
        <v>610</v>
      </c>
      <c r="B34" s="11"/>
      <c r="C34" s="11"/>
      <c r="D34" s="11"/>
      <c r="E34" s="11"/>
      <c r="F34" s="11"/>
      <c r="G34" s="12"/>
      <c r="H34" s="12"/>
      <c r="I34" s="24"/>
      <c r="J34" s="24" t="s">
        <v>23</v>
      </c>
      <c r="K34" s="12"/>
    </row>
    <row r="35" spans="1:11" x14ac:dyDescent="0.2">
      <c r="A35" s="11"/>
      <c r="B35" s="12"/>
      <c r="C35" s="12"/>
      <c r="D35" s="12"/>
      <c r="E35" s="12"/>
      <c r="F35" s="12"/>
      <c r="G35" s="12"/>
      <c r="H35" s="12"/>
      <c r="I35" s="12"/>
      <c r="J35" s="12"/>
      <c r="K35" s="12"/>
    </row>
  </sheetData>
  <mergeCells count="19">
    <mergeCell ref="J2:K2"/>
    <mergeCell ref="I9:J9"/>
    <mergeCell ref="D2:E2"/>
    <mergeCell ref="G9:H9"/>
    <mergeCell ref="K9:K10"/>
    <mergeCell ref="C8:J8"/>
    <mergeCell ref="A7:C7"/>
    <mergeCell ref="A3:K3"/>
    <mergeCell ref="A4:K4"/>
    <mergeCell ref="A5:K5"/>
    <mergeCell ref="C9:D9"/>
    <mergeCell ref="B9:B10"/>
    <mergeCell ref="E9:F9"/>
    <mergeCell ref="J31:K31"/>
    <mergeCell ref="A32:K32"/>
    <mergeCell ref="A33:K33"/>
    <mergeCell ref="A9:A10"/>
    <mergeCell ref="A29:J29"/>
    <mergeCell ref="K12:K24"/>
  </mergeCells>
  <phoneticPr fontId="0" type="noConversion"/>
  <printOptions horizontalCentered="1"/>
  <pageMargins left="0.70866141732283472" right="0.70866141732283472" top="0.23622047244094491" bottom="0" header="0.31496062992125984" footer="0.31496062992125984"/>
  <pageSetup paperSize="9" scale="8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5" tint="0.39997558519241921"/>
  </sheetPr>
  <dimension ref="A1:K31"/>
  <sheetViews>
    <sheetView topLeftCell="A11" workbookViewId="0">
      <selection activeCell="E23" sqref="E23"/>
    </sheetView>
  </sheetViews>
  <sheetFormatPr defaultRowHeight="12.75" x14ac:dyDescent="0.2"/>
  <cols>
    <col min="1" max="1" width="6.85546875" customWidth="1"/>
    <col min="2" max="2" width="14.140625" customWidth="1"/>
    <col min="3" max="3" width="10.42578125" customWidth="1"/>
    <col min="4" max="4" width="12.5703125" customWidth="1"/>
    <col min="5" max="5" width="11.42578125" customWidth="1"/>
    <col min="6" max="6" width="13.7109375" customWidth="1"/>
    <col min="7" max="7" width="10.7109375" customWidth="1"/>
    <col min="8" max="8" width="13.140625" customWidth="1"/>
    <col min="9" max="9" width="15" customWidth="1"/>
    <col min="10" max="10" width="16.28515625" customWidth="1"/>
    <col min="11" max="11" width="16.85546875" customWidth="1"/>
  </cols>
  <sheetData>
    <row r="1" spans="1:11" ht="15" x14ac:dyDescent="0.2">
      <c r="D1" s="1037"/>
      <c r="E1" s="1037"/>
      <c r="H1" s="32"/>
      <c r="J1" s="1141" t="s">
        <v>614</v>
      </c>
      <c r="K1" s="1141"/>
    </row>
    <row r="2" spans="1:11" ht="15" x14ac:dyDescent="0.2">
      <c r="A2" s="1152" t="s">
        <v>0</v>
      </c>
      <c r="B2" s="1152"/>
      <c r="C2" s="1152"/>
      <c r="D2" s="1152"/>
      <c r="E2" s="1152"/>
      <c r="F2" s="1152"/>
      <c r="G2" s="1152"/>
      <c r="H2" s="1152"/>
      <c r="I2" s="1152"/>
      <c r="J2" s="1152"/>
    </row>
    <row r="3" spans="1:11" ht="18" x14ac:dyDescent="0.25">
      <c r="A3" s="1231" t="s">
        <v>916</v>
      </c>
      <c r="B3" s="1231"/>
      <c r="C3" s="1231"/>
      <c r="D3" s="1231"/>
      <c r="E3" s="1231"/>
      <c r="F3" s="1231"/>
      <c r="G3" s="1231"/>
      <c r="H3" s="1231"/>
      <c r="I3" s="1231"/>
      <c r="J3" s="1231"/>
    </row>
    <row r="4" spans="1:11" ht="15.75" x14ac:dyDescent="0.2">
      <c r="A4" s="1355" t="s">
        <v>511</v>
      </c>
      <c r="B4" s="1355"/>
      <c r="C4" s="1355"/>
      <c r="D4" s="1355"/>
      <c r="E4" s="1355"/>
      <c r="F4" s="1355"/>
      <c r="G4" s="1355"/>
      <c r="H4" s="1355"/>
      <c r="I4" s="1355"/>
      <c r="J4" s="1355"/>
      <c r="K4" s="1355"/>
    </row>
    <row r="5" spans="1:11" ht="15.75" x14ac:dyDescent="0.25">
      <c r="A5" s="35"/>
      <c r="B5" s="35"/>
      <c r="C5" s="35"/>
      <c r="D5" s="35"/>
      <c r="E5" s="35"/>
      <c r="F5" s="35"/>
      <c r="G5" s="35"/>
      <c r="H5" s="35"/>
      <c r="I5" s="35"/>
      <c r="J5" s="35"/>
      <c r="K5" s="12"/>
    </row>
    <row r="6" spans="1:11" x14ac:dyDescent="0.2">
      <c r="A6" s="450" t="s">
        <v>574</v>
      </c>
      <c r="B6" s="450"/>
      <c r="C6" s="451"/>
      <c r="D6" s="12"/>
      <c r="E6" s="12"/>
      <c r="F6" s="12"/>
      <c r="G6" s="12"/>
      <c r="H6" s="12"/>
      <c r="I6" s="1349" t="s">
        <v>913</v>
      </c>
      <c r="J6" s="1349"/>
      <c r="K6" s="1349"/>
    </row>
    <row r="7" spans="1:11" ht="48" customHeight="1" x14ac:dyDescent="0.2">
      <c r="A7" s="1136" t="s">
        <v>25</v>
      </c>
      <c r="B7" s="1136" t="s">
        <v>37</v>
      </c>
      <c r="C7" s="1165" t="s">
        <v>745</v>
      </c>
      <c r="D7" s="1167"/>
      <c r="E7" s="1165" t="s">
        <v>692</v>
      </c>
      <c r="F7" s="1167"/>
      <c r="G7" s="1165" t="s">
        <v>39</v>
      </c>
      <c r="H7" s="1167"/>
      <c r="I7" s="1145" t="s">
        <v>110</v>
      </c>
      <c r="J7" s="1145"/>
      <c r="K7" s="1136" t="s">
        <v>261</v>
      </c>
    </row>
    <row r="8" spans="1:11" ht="51" x14ac:dyDescent="0.2">
      <c r="A8" s="1137"/>
      <c r="B8" s="1137"/>
      <c r="C8" s="189" t="s">
        <v>40</v>
      </c>
      <c r="D8" s="189" t="s">
        <v>109</v>
      </c>
      <c r="E8" s="189" t="s">
        <v>40</v>
      </c>
      <c r="F8" s="189" t="s">
        <v>109</v>
      </c>
      <c r="G8" s="189" t="s">
        <v>40</v>
      </c>
      <c r="H8" s="189" t="s">
        <v>109</v>
      </c>
      <c r="I8" s="189" t="s">
        <v>145</v>
      </c>
      <c r="J8" s="189" t="s">
        <v>146</v>
      </c>
      <c r="K8" s="1137"/>
    </row>
    <row r="9" spans="1:11" x14ac:dyDescent="0.2">
      <c r="A9" s="289">
        <v>1</v>
      </c>
      <c r="B9" s="289">
        <v>2</v>
      </c>
      <c r="C9" s="289">
        <v>3</v>
      </c>
      <c r="D9" s="289">
        <v>4</v>
      </c>
      <c r="E9" s="289">
        <v>5</v>
      </c>
      <c r="F9" s="289">
        <v>6</v>
      </c>
      <c r="G9" s="289">
        <v>7</v>
      </c>
      <c r="H9" s="289">
        <v>8</v>
      </c>
      <c r="I9" s="289">
        <v>9</v>
      </c>
      <c r="J9" s="289">
        <v>10</v>
      </c>
      <c r="K9" s="289">
        <v>11</v>
      </c>
    </row>
    <row r="10" spans="1:11" ht="20.25" customHeight="1" x14ac:dyDescent="0.2">
      <c r="A10" s="289">
        <v>1</v>
      </c>
      <c r="B10" s="219" t="s">
        <v>386</v>
      </c>
      <c r="C10" s="212">
        <v>1861</v>
      </c>
      <c r="D10" s="212">
        <v>93.05</v>
      </c>
      <c r="E10" s="212">
        <v>1861</v>
      </c>
      <c r="F10" s="212">
        <v>93.05</v>
      </c>
      <c r="G10" s="212">
        <v>0</v>
      </c>
      <c r="H10" s="247">
        <v>0</v>
      </c>
      <c r="I10" s="212">
        <v>0</v>
      </c>
      <c r="J10" s="247">
        <v>0</v>
      </c>
      <c r="K10" s="212"/>
    </row>
    <row r="11" spans="1:11" ht="20.25" customHeight="1" x14ac:dyDescent="0.2">
      <c r="A11" s="289">
        <v>2</v>
      </c>
      <c r="B11" s="219" t="s">
        <v>387</v>
      </c>
      <c r="C11" s="212">
        <v>800</v>
      </c>
      <c r="D11" s="212">
        <v>40</v>
      </c>
      <c r="E11" s="212">
        <v>800</v>
      </c>
      <c r="F11" s="212">
        <v>40</v>
      </c>
      <c r="G11" s="212">
        <v>0</v>
      </c>
      <c r="H11" s="247">
        <v>0</v>
      </c>
      <c r="I11" s="212">
        <v>0</v>
      </c>
      <c r="J11" s="247">
        <v>0</v>
      </c>
      <c r="K11" s="212"/>
    </row>
    <row r="12" spans="1:11" ht="20.25" customHeight="1" x14ac:dyDescent="0.2">
      <c r="A12" s="289">
        <v>3</v>
      </c>
      <c r="B12" s="219" t="s">
        <v>388</v>
      </c>
      <c r="C12" s="212">
        <v>1411</v>
      </c>
      <c r="D12" s="212">
        <v>70.55</v>
      </c>
      <c r="E12" s="212">
        <v>1411</v>
      </c>
      <c r="F12" s="212">
        <v>70.55</v>
      </c>
      <c r="G12" s="212">
        <v>0</v>
      </c>
      <c r="H12" s="247">
        <v>0</v>
      </c>
      <c r="I12" s="212">
        <v>0</v>
      </c>
      <c r="J12" s="247">
        <v>0</v>
      </c>
      <c r="K12" s="212"/>
    </row>
    <row r="13" spans="1:11" ht="20.25" customHeight="1" x14ac:dyDescent="0.2">
      <c r="A13" s="289">
        <v>4</v>
      </c>
      <c r="B13" s="219" t="s">
        <v>389</v>
      </c>
      <c r="C13" s="212">
        <v>703</v>
      </c>
      <c r="D13" s="212">
        <v>35.15</v>
      </c>
      <c r="E13" s="212">
        <v>703</v>
      </c>
      <c r="F13" s="212">
        <v>35.15</v>
      </c>
      <c r="G13" s="212">
        <v>0</v>
      </c>
      <c r="H13" s="247">
        <v>0</v>
      </c>
      <c r="I13" s="212">
        <v>0</v>
      </c>
      <c r="J13" s="247">
        <v>0</v>
      </c>
      <c r="K13" s="212"/>
    </row>
    <row r="14" spans="1:11" ht="20.25" customHeight="1" x14ac:dyDescent="0.2">
      <c r="A14" s="289">
        <v>5</v>
      </c>
      <c r="B14" s="221" t="s">
        <v>390</v>
      </c>
      <c r="C14" s="212">
        <v>1351</v>
      </c>
      <c r="D14" s="212">
        <v>67.55</v>
      </c>
      <c r="E14" s="212">
        <v>1351</v>
      </c>
      <c r="F14" s="212">
        <v>67.55</v>
      </c>
      <c r="G14" s="212">
        <v>0</v>
      </c>
      <c r="H14" s="247">
        <v>0</v>
      </c>
      <c r="I14" s="212">
        <v>0</v>
      </c>
      <c r="J14" s="247">
        <v>0</v>
      </c>
      <c r="K14" s="212"/>
    </row>
    <row r="15" spans="1:11" ht="20.25" customHeight="1" x14ac:dyDescent="0.2">
      <c r="A15" s="289">
        <v>6</v>
      </c>
      <c r="B15" s="219" t="s">
        <v>391</v>
      </c>
      <c r="C15" s="212">
        <v>1009</v>
      </c>
      <c r="D15" s="212">
        <v>50.45</v>
      </c>
      <c r="E15" s="212">
        <v>1009</v>
      </c>
      <c r="F15" s="212">
        <v>50.45</v>
      </c>
      <c r="G15" s="212">
        <v>0</v>
      </c>
      <c r="H15" s="247">
        <v>0</v>
      </c>
      <c r="I15" s="212">
        <v>0</v>
      </c>
      <c r="J15" s="247">
        <v>0</v>
      </c>
      <c r="K15" s="212"/>
    </row>
    <row r="16" spans="1:11" ht="20.25" customHeight="1" x14ac:dyDescent="0.2">
      <c r="A16" s="290">
        <v>7</v>
      </c>
      <c r="B16" s="221" t="s">
        <v>392</v>
      </c>
      <c r="C16" s="212">
        <v>1319</v>
      </c>
      <c r="D16" s="212">
        <v>65.95</v>
      </c>
      <c r="E16" s="212">
        <v>1319</v>
      </c>
      <c r="F16" s="212">
        <v>65.95</v>
      </c>
      <c r="G16" s="212">
        <v>0</v>
      </c>
      <c r="H16" s="247">
        <v>0</v>
      </c>
      <c r="I16" s="212">
        <v>0</v>
      </c>
      <c r="J16" s="247">
        <v>0</v>
      </c>
      <c r="K16" s="212"/>
    </row>
    <row r="17" spans="1:11" ht="20.25" customHeight="1" x14ac:dyDescent="0.2">
      <c r="A17" s="290">
        <v>8</v>
      </c>
      <c r="B17" s="219" t="s">
        <v>393</v>
      </c>
      <c r="C17" s="212">
        <v>2161</v>
      </c>
      <c r="D17" s="212">
        <v>108.05</v>
      </c>
      <c r="E17" s="212">
        <v>2161</v>
      </c>
      <c r="F17" s="212">
        <v>108.05</v>
      </c>
      <c r="G17" s="212">
        <v>0</v>
      </c>
      <c r="H17" s="247">
        <v>0</v>
      </c>
      <c r="I17" s="212">
        <v>0</v>
      </c>
      <c r="J17" s="247">
        <v>0</v>
      </c>
      <c r="K17" s="212"/>
    </row>
    <row r="18" spans="1:11" ht="20.25" customHeight="1" x14ac:dyDescent="0.2">
      <c r="A18" s="290">
        <v>9</v>
      </c>
      <c r="B18" s="219" t="s">
        <v>394</v>
      </c>
      <c r="C18" s="212">
        <v>1577</v>
      </c>
      <c r="D18" s="212">
        <v>78.849999999999994</v>
      </c>
      <c r="E18" s="212">
        <v>1577</v>
      </c>
      <c r="F18" s="212">
        <v>78.849999999999994</v>
      </c>
      <c r="G18" s="212">
        <v>0</v>
      </c>
      <c r="H18" s="247">
        <v>0</v>
      </c>
      <c r="I18" s="212">
        <v>0</v>
      </c>
      <c r="J18" s="247">
        <v>0</v>
      </c>
      <c r="K18" s="212"/>
    </row>
    <row r="19" spans="1:11" ht="20.25" customHeight="1" x14ac:dyDescent="0.2">
      <c r="A19" s="534">
        <v>10</v>
      </c>
      <c r="B19" s="219" t="s">
        <v>395</v>
      </c>
      <c r="C19" s="212">
        <v>787</v>
      </c>
      <c r="D19" s="212">
        <v>39.35</v>
      </c>
      <c r="E19" s="212">
        <v>787</v>
      </c>
      <c r="F19" s="212">
        <v>39.35</v>
      </c>
      <c r="G19" s="212">
        <v>0</v>
      </c>
      <c r="H19" s="247">
        <v>0</v>
      </c>
      <c r="I19" s="212">
        <v>0</v>
      </c>
      <c r="J19" s="247">
        <v>0</v>
      </c>
      <c r="K19" s="212"/>
    </row>
    <row r="20" spans="1:11" ht="20.25" customHeight="1" x14ac:dyDescent="0.2">
      <c r="A20" s="534">
        <v>11</v>
      </c>
      <c r="B20" s="219" t="s">
        <v>396</v>
      </c>
      <c r="C20" s="212">
        <v>2086</v>
      </c>
      <c r="D20" s="212">
        <v>104.3</v>
      </c>
      <c r="E20" s="212">
        <v>2086</v>
      </c>
      <c r="F20" s="212">
        <v>104.3</v>
      </c>
      <c r="G20" s="212">
        <v>0</v>
      </c>
      <c r="H20" s="247">
        <v>0</v>
      </c>
      <c r="I20" s="212">
        <v>0</v>
      </c>
      <c r="J20" s="247">
        <v>0</v>
      </c>
      <c r="K20" s="212"/>
    </row>
    <row r="21" spans="1:11" ht="20.25" customHeight="1" x14ac:dyDescent="0.2">
      <c r="A21" s="534">
        <v>12</v>
      </c>
      <c r="B21" s="219" t="s">
        <v>397</v>
      </c>
      <c r="C21" s="212">
        <v>1096</v>
      </c>
      <c r="D21" s="212">
        <v>54.8</v>
      </c>
      <c r="E21" s="212">
        <v>1096</v>
      </c>
      <c r="F21" s="212">
        <v>54.8</v>
      </c>
      <c r="G21" s="212">
        <v>0</v>
      </c>
      <c r="H21" s="247">
        <v>0</v>
      </c>
      <c r="I21" s="212">
        <v>0</v>
      </c>
      <c r="J21" s="247">
        <v>0</v>
      </c>
      <c r="K21" s="212"/>
    </row>
    <row r="22" spans="1:11" ht="20.25" customHeight="1" x14ac:dyDescent="0.2">
      <c r="A22" s="534">
        <v>13</v>
      </c>
      <c r="B22" s="219" t="s">
        <v>398</v>
      </c>
      <c r="C22" s="68">
        <v>1122</v>
      </c>
      <c r="D22" s="68">
        <v>56.1</v>
      </c>
      <c r="E22" s="68">
        <v>1122</v>
      </c>
      <c r="F22" s="68">
        <v>56.1</v>
      </c>
      <c r="G22" s="90">
        <v>0</v>
      </c>
      <c r="H22" s="247">
        <v>0</v>
      </c>
      <c r="I22" s="212">
        <v>0</v>
      </c>
      <c r="J22" s="247">
        <v>0</v>
      </c>
      <c r="K22" s="90"/>
    </row>
    <row r="23" spans="1:11" ht="20.25" customHeight="1" x14ac:dyDescent="0.2">
      <c r="A23" s="2" t="s">
        <v>18</v>
      </c>
      <c r="B23" s="188"/>
      <c r="C23" s="189">
        <f>SUM(C10:C22)</f>
        <v>17283</v>
      </c>
      <c r="D23" s="189">
        <f>SUM(D10:D22)</f>
        <v>864.15</v>
      </c>
      <c r="E23" s="189">
        <f t="shared" ref="E23:K23" si="0">SUM(E10:E22)</f>
        <v>17283</v>
      </c>
      <c r="F23" s="189">
        <f t="shared" si="0"/>
        <v>864.15</v>
      </c>
      <c r="G23" s="189">
        <f t="shared" si="0"/>
        <v>0</v>
      </c>
      <c r="H23" s="318">
        <f t="shared" si="0"/>
        <v>0</v>
      </c>
      <c r="I23" s="189">
        <f t="shared" si="0"/>
        <v>0</v>
      </c>
      <c r="J23" s="318">
        <f t="shared" si="0"/>
        <v>0</v>
      </c>
      <c r="K23" s="189">
        <f t="shared" si="0"/>
        <v>0</v>
      </c>
    </row>
    <row r="24" spans="1:11" x14ac:dyDescent="0.2">
      <c r="A24" s="7" t="s">
        <v>41</v>
      </c>
      <c r="B24" s="278"/>
      <c r="C24" s="54"/>
      <c r="D24" s="54"/>
      <c r="E24" s="54"/>
      <c r="F24" s="54"/>
      <c r="G24" s="54"/>
      <c r="H24" s="54"/>
      <c r="I24" s="80"/>
      <c r="J24" s="80"/>
      <c r="K24" s="54"/>
    </row>
    <row r="25" spans="1:11" x14ac:dyDescent="0.2">
      <c r="A25" s="7"/>
      <c r="B25" s="278"/>
      <c r="C25" s="54"/>
      <c r="D25" s="54"/>
      <c r="E25" s="54"/>
      <c r="F25" s="54"/>
      <c r="G25" s="54"/>
      <c r="H25" s="54"/>
      <c r="I25" s="80"/>
      <c r="J25" s="80"/>
      <c r="K25" s="54"/>
    </row>
    <row r="27" spans="1:11" x14ac:dyDescent="0.2">
      <c r="A27" s="12"/>
      <c r="B27" s="54"/>
      <c r="C27" s="54"/>
      <c r="D27" s="54"/>
      <c r="E27" s="54"/>
      <c r="F27" s="54"/>
      <c r="G27" s="54"/>
      <c r="H27" s="54"/>
      <c r="I27" s="12"/>
      <c r="J27" s="1073" t="s">
        <v>12</v>
      </c>
      <c r="K27" s="1073"/>
    </row>
    <row r="28" spans="1:11" x14ac:dyDescent="0.2">
      <c r="A28" s="1161" t="s">
        <v>13</v>
      </c>
      <c r="B28" s="1161"/>
      <c r="C28" s="1161"/>
      <c r="D28" s="1161"/>
      <c r="E28" s="1161"/>
      <c r="F28" s="1161"/>
      <c r="G28" s="1161"/>
      <c r="H28" s="1161"/>
      <c r="I28" s="1161"/>
      <c r="J28" s="1161"/>
      <c r="K28" s="1161"/>
    </row>
    <row r="29" spans="1:11" x14ac:dyDescent="0.2">
      <c r="A29" s="1161" t="s">
        <v>613</v>
      </c>
      <c r="B29" s="1161"/>
      <c r="C29" s="1161"/>
      <c r="D29" s="1161"/>
      <c r="E29" s="1161"/>
      <c r="F29" s="1161"/>
      <c r="G29" s="1161"/>
      <c r="H29" s="1161"/>
      <c r="I29" s="1161"/>
      <c r="J29" s="1161"/>
      <c r="K29" s="1161"/>
    </row>
    <row r="30" spans="1:11" x14ac:dyDescent="0.2">
      <c r="A30" s="11" t="s">
        <v>610</v>
      </c>
      <c r="B30" s="11"/>
      <c r="C30" s="11"/>
      <c r="D30" s="11"/>
      <c r="E30" s="11"/>
      <c r="F30" s="11"/>
      <c r="G30" s="12"/>
      <c r="H30" s="12"/>
      <c r="I30" s="24"/>
      <c r="J30" s="24" t="s">
        <v>23</v>
      </c>
      <c r="K30" s="12"/>
    </row>
    <row r="31" spans="1:11" x14ac:dyDescent="0.2">
      <c r="A31" s="11"/>
      <c r="B31" s="12"/>
      <c r="C31" s="12"/>
      <c r="D31" s="12"/>
      <c r="E31" s="12"/>
      <c r="F31" s="12"/>
      <c r="G31" s="12"/>
      <c r="H31" s="12"/>
      <c r="I31" s="12"/>
      <c r="J31" s="12"/>
      <c r="K31" s="12"/>
    </row>
  </sheetData>
  <mergeCells count="16">
    <mergeCell ref="J27:K27"/>
    <mergeCell ref="A28:K28"/>
    <mergeCell ref="A29:K29"/>
    <mergeCell ref="I7:J7"/>
    <mergeCell ref="D1:E1"/>
    <mergeCell ref="J1:K1"/>
    <mergeCell ref="A2:J2"/>
    <mergeCell ref="A3:J3"/>
    <mergeCell ref="A4:K4"/>
    <mergeCell ref="I6:K6"/>
    <mergeCell ref="K7:K8"/>
    <mergeCell ref="A7:A8"/>
    <mergeCell ref="B7:B8"/>
    <mergeCell ref="C7:D7"/>
    <mergeCell ref="E7:F7"/>
    <mergeCell ref="G7:H7"/>
  </mergeCells>
  <printOptions horizontalCentered="1"/>
  <pageMargins left="0.53" right="0.41" top="0.39" bottom="0.32" header="0.26" footer="0.23"/>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39997558519241921"/>
    <pageSetUpPr fitToPage="1"/>
  </sheetPr>
  <dimension ref="A1:T64"/>
  <sheetViews>
    <sheetView view="pageBreakPreview" topLeftCell="A35" zoomScale="92" zoomScaleSheetLayoutView="92" workbookViewId="0">
      <selection activeCell="G49" sqref="G49"/>
    </sheetView>
  </sheetViews>
  <sheetFormatPr defaultRowHeight="12.75" x14ac:dyDescent="0.2"/>
  <cols>
    <col min="1" max="4" width="11.7109375" style="11" customWidth="1"/>
    <col min="5" max="5" width="12.42578125" style="11" customWidth="1"/>
    <col min="6" max="6" width="8.7109375" style="11" customWidth="1"/>
    <col min="7" max="7" width="10.7109375" style="11" customWidth="1"/>
    <col min="8" max="8" width="11.7109375" style="11" customWidth="1"/>
    <col min="9" max="15" width="8.5703125" style="11" customWidth="1"/>
    <col min="16" max="16" width="8.42578125" style="11" customWidth="1"/>
    <col min="17" max="19" width="8.5703125" style="11" customWidth="1"/>
    <col min="20" max="20" width="13.85546875" style="11" customWidth="1"/>
    <col min="21" max="16384" width="9.140625" style="11"/>
  </cols>
  <sheetData>
    <row r="1" spans="1:20" x14ac:dyDescent="0.2">
      <c r="A1" s="11" t="s">
        <v>10</v>
      </c>
      <c r="H1" s="1037"/>
      <c r="I1" s="1037"/>
      <c r="R1" s="1040" t="s">
        <v>57</v>
      </c>
      <c r="S1" s="1040"/>
      <c r="T1" s="1040"/>
    </row>
    <row r="2" spans="1:20" s="10" customFormat="1" ht="16.5" x14ac:dyDescent="0.25">
      <c r="A2" s="1038" t="s">
        <v>0</v>
      </c>
      <c r="B2" s="1038"/>
      <c r="C2" s="1038"/>
      <c r="D2" s="1038"/>
      <c r="E2" s="1038"/>
      <c r="F2" s="1038"/>
      <c r="G2" s="1038"/>
      <c r="H2" s="1038"/>
      <c r="I2" s="1038"/>
      <c r="J2" s="1038"/>
      <c r="K2" s="1038"/>
      <c r="L2" s="1038"/>
      <c r="M2" s="1038"/>
      <c r="N2" s="1038"/>
      <c r="O2" s="1038"/>
      <c r="P2" s="1038"/>
      <c r="Q2" s="1038"/>
      <c r="R2" s="1038"/>
      <c r="S2" s="1038"/>
      <c r="T2" s="1038"/>
    </row>
    <row r="3" spans="1:20" s="10" customFormat="1" ht="20.25" customHeight="1" x14ac:dyDescent="0.25">
      <c r="A3" s="1038" t="s">
        <v>788</v>
      </c>
      <c r="B3" s="1038"/>
      <c r="C3" s="1038"/>
      <c r="D3" s="1038"/>
      <c r="E3" s="1038"/>
      <c r="F3" s="1038"/>
      <c r="G3" s="1038"/>
      <c r="H3" s="1038"/>
      <c r="I3" s="1038"/>
      <c r="J3" s="1038"/>
      <c r="K3" s="1038"/>
      <c r="L3" s="1038"/>
      <c r="M3" s="1038"/>
      <c r="N3" s="1038"/>
      <c r="O3" s="1038"/>
      <c r="P3" s="1038"/>
      <c r="Q3" s="1038"/>
      <c r="R3" s="1038"/>
      <c r="S3" s="1038"/>
      <c r="T3" s="1038"/>
    </row>
    <row r="4" spans="1:20" s="10" customFormat="1" ht="18" x14ac:dyDescent="0.25">
      <c r="A4" s="1039" t="s">
        <v>789</v>
      </c>
      <c r="B4" s="1039"/>
      <c r="C4" s="1039"/>
      <c r="D4" s="1039"/>
      <c r="E4" s="1039"/>
      <c r="F4" s="1039"/>
      <c r="G4" s="1039"/>
      <c r="H4" s="1039"/>
      <c r="I4" s="1039"/>
      <c r="J4" s="1039"/>
      <c r="K4" s="1039"/>
      <c r="L4" s="1039"/>
      <c r="M4" s="1039"/>
      <c r="N4" s="1039"/>
      <c r="O4" s="1039"/>
      <c r="P4" s="1039"/>
      <c r="Q4" s="1039"/>
      <c r="R4" s="1039"/>
      <c r="S4" s="1039"/>
      <c r="T4" s="1039"/>
    </row>
    <row r="5" spans="1:20" ht="15" x14ac:dyDescent="0.25">
      <c r="A5" s="1042" t="s">
        <v>456</v>
      </c>
      <c r="B5" s="1042"/>
      <c r="C5" s="1042"/>
      <c r="D5" s="39"/>
      <c r="E5" s="39"/>
      <c r="F5" s="39"/>
      <c r="G5" s="39"/>
      <c r="H5" s="39"/>
      <c r="I5" s="39"/>
      <c r="J5" s="39"/>
      <c r="K5" s="39"/>
      <c r="L5" s="39"/>
      <c r="M5" s="39"/>
      <c r="N5" s="39"/>
      <c r="O5" s="39"/>
      <c r="P5" s="39"/>
      <c r="Q5" s="39"/>
      <c r="R5" s="39"/>
      <c r="S5" s="39"/>
      <c r="T5" s="39"/>
    </row>
    <row r="6" spans="1:20" ht="15" x14ac:dyDescent="0.25">
      <c r="A6" s="1041" t="s">
        <v>181</v>
      </c>
      <c r="B6" s="1041"/>
      <c r="C6" s="1041"/>
      <c r="D6" s="1041"/>
      <c r="E6" s="1041"/>
      <c r="F6" s="1041"/>
      <c r="G6" s="1041"/>
      <c r="H6" s="1041"/>
      <c r="I6" s="1041"/>
      <c r="J6" s="39"/>
      <c r="K6" s="39"/>
      <c r="L6" s="39"/>
      <c r="M6" s="39"/>
      <c r="N6" s="39"/>
      <c r="O6" s="39"/>
      <c r="P6" s="39"/>
      <c r="Q6" s="39"/>
      <c r="R6" s="423"/>
      <c r="S6" s="423"/>
      <c r="T6" s="39"/>
    </row>
    <row r="7" spans="1:20" ht="15" x14ac:dyDescent="0.25">
      <c r="A7" s="39"/>
      <c r="B7" s="39"/>
      <c r="C7" s="39"/>
      <c r="D7" s="39"/>
      <c r="E7" s="39"/>
      <c r="F7" s="39"/>
      <c r="G7" s="39"/>
      <c r="H7" s="39"/>
      <c r="I7" s="39"/>
      <c r="J7" s="39"/>
      <c r="K7" s="39"/>
      <c r="L7" s="39"/>
      <c r="M7" s="39"/>
      <c r="N7" s="39"/>
      <c r="O7" s="39"/>
      <c r="P7" s="39"/>
      <c r="Q7" s="39"/>
      <c r="R7" s="39"/>
      <c r="S7" s="39"/>
      <c r="T7" s="39"/>
    </row>
    <row r="8" spans="1:20" ht="18" customHeight="1" x14ac:dyDescent="0.25">
      <c r="A8" s="192"/>
      <c r="B8" s="1028" t="s">
        <v>43</v>
      </c>
      <c r="C8" s="1028"/>
      <c r="D8" s="1028" t="s">
        <v>44</v>
      </c>
      <c r="E8" s="1028"/>
      <c r="F8" s="1028" t="s">
        <v>45</v>
      </c>
      <c r="G8" s="1028"/>
      <c r="H8" s="1030" t="s">
        <v>46</v>
      </c>
      <c r="I8" s="1030"/>
      <c r="J8" s="1028" t="s">
        <v>47</v>
      </c>
      <c r="K8" s="1028"/>
      <c r="L8" s="250" t="s">
        <v>18</v>
      </c>
      <c r="M8" s="39"/>
      <c r="N8" s="39"/>
      <c r="O8" s="39"/>
      <c r="P8" s="39"/>
      <c r="Q8" s="39"/>
      <c r="R8" s="39"/>
      <c r="S8" s="39"/>
      <c r="T8" s="39"/>
    </row>
    <row r="9" spans="1:20" s="50" customFormat="1" ht="13.5" customHeight="1" x14ac:dyDescent="0.2">
      <c r="A9" s="424">
        <v>1</v>
      </c>
      <c r="B9" s="1029">
        <v>2</v>
      </c>
      <c r="C9" s="1029"/>
      <c r="D9" s="1029">
        <v>3</v>
      </c>
      <c r="E9" s="1029"/>
      <c r="F9" s="1029">
        <v>4</v>
      </c>
      <c r="G9" s="1029"/>
      <c r="H9" s="1029">
        <v>5</v>
      </c>
      <c r="I9" s="1029"/>
      <c r="J9" s="1029">
        <v>6</v>
      </c>
      <c r="K9" s="1029"/>
      <c r="L9" s="424">
        <v>7</v>
      </c>
      <c r="M9" s="425"/>
      <c r="N9" s="425"/>
      <c r="O9" s="425"/>
      <c r="P9" s="425"/>
      <c r="Q9" s="425"/>
      <c r="R9" s="425"/>
      <c r="S9" s="425"/>
      <c r="T9" s="425"/>
    </row>
    <row r="10" spans="1:20" ht="20.100000000000001" customHeight="1" x14ac:dyDescent="0.25">
      <c r="A10" s="191" t="s">
        <v>48</v>
      </c>
      <c r="B10" s="1023">
        <v>44</v>
      </c>
      <c r="C10" s="1023"/>
      <c r="D10" s="1023">
        <v>16</v>
      </c>
      <c r="E10" s="1023"/>
      <c r="F10" s="1023">
        <v>33</v>
      </c>
      <c r="G10" s="1023"/>
      <c r="H10" s="1023">
        <v>1</v>
      </c>
      <c r="I10" s="1023"/>
      <c r="J10" s="1023">
        <v>170</v>
      </c>
      <c r="K10" s="1023"/>
      <c r="L10" s="199">
        <f>B10+D10+F10+H10+J10</f>
        <v>264</v>
      </c>
      <c r="M10" s="39"/>
      <c r="N10" s="39"/>
      <c r="O10" s="39"/>
      <c r="P10" s="39"/>
      <c r="Q10" s="39"/>
      <c r="R10" s="39"/>
      <c r="S10" s="39"/>
      <c r="T10" s="39"/>
    </row>
    <row r="11" spans="1:20" ht="20.100000000000001" customHeight="1" x14ac:dyDescent="0.25">
      <c r="A11" s="191" t="s">
        <v>49</v>
      </c>
      <c r="B11" s="1023">
        <v>3277</v>
      </c>
      <c r="C11" s="1023"/>
      <c r="D11" s="1023">
        <v>1238</v>
      </c>
      <c r="E11" s="1023"/>
      <c r="F11" s="1023">
        <v>5013</v>
      </c>
      <c r="G11" s="1023"/>
      <c r="H11" s="1023">
        <v>646</v>
      </c>
      <c r="I11" s="1023"/>
      <c r="J11" s="1023">
        <v>16094</v>
      </c>
      <c r="K11" s="1023"/>
      <c r="L11" s="199">
        <f>B11+D11+F11+H11+J11</f>
        <v>26268</v>
      </c>
      <c r="M11" s="39"/>
      <c r="N11" s="39"/>
      <c r="O11" s="39"/>
      <c r="P11" s="39"/>
      <c r="Q11" s="39"/>
      <c r="R11" s="39"/>
      <c r="S11" s="39"/>
      <c r="T11" s="39"/>
    </row>
    <row r="12" spans="1:20" ht="15" x14ac:dyDescent="0.25">
      <c r="A12" s="191" t="s">
        <v>18</v>
      </c>
      <c r="B12" s="1030">
        <f>B10+B11</f>
        <v>3321</v>
      </c>
      <c r="C12" s="1030"/>
      <c r="D12" s="1030">
        <f>D10+D11</f>
        <v>1254</v>
      </c>
      <c r="E12" s="1030"/>
      <c r="F12" s="1030">
        <f>F10+F11</f>
        <v>5046</v>
      </c>
      <c r="G12" s="1030"/>
      <c r="H12" s="1030">
        <f>H10+H11</f>
        <v>647</v>
      </c>
      <c r="I12" s="1030"/>
      <c r="J12" s="1030">
        <f>J10+J11</f>
        <v>16264</v>
      </c>
      <c r="K12" s="1030"/>
      <c r="L12" s="191">
        <f>B12+D12+F12+H12+J12</f>
        <v>26532</v>
      </c>
      <c r="M12" s="39"/>
      <c r="N12" s="39"/>
      <c r="O12" s="39"/>
      <c r="P12" s="39"/>
      <c r="Q12" s="39"/>
      <c r="R12" s="39"/>
      <c r="S12" s="39"/>
      <c r="T12" s="39"/>
    </row>
    <row r="13" spans="1:20" ht="15" x14ac:dyDescent="0.25">
      <c r="A13" s="426"/>
      <c r="B13" s="426"/>
      <c r="C13" s="426"/>
      <c r="D13" s="426"/>
      <c r="E13" s="426"/>
      <c r="F13" s="426"/>
      <c r="G13" s="426"/>
      <c r="H13" s="426"/>
      <c r="I13" s="426"/>
      <c r="J13" s="426"/>
      <c r="K13" s="426"/>
      <c r="L13" s="426"/>
      <c r="M13" s="39"/>
      <c r="N13" s="39"/>
      <c r="O13" s="39"/>
      <c r="P13" s="39"/>
      <c r="Q13" s="39"/>
      <c r="R13" s="39"/>
      <c r="S13" s="39"/>
      <c r="T13" s="39"/>
    </row>
    <row r="14" spans="1:20" ht="15" x14ac:dyDescent="0.25">
      <c r="A14" s="1033" t="s">
        <v>475</v>
      </c>
      <c r="B14" s="1033"/>
      <c r="C14" s="1033"/>
      <c r="D14" s="1033"/>
      <c r="E14" s="1033"/>
      <c r="F14" s="1033"/>
      <c r="G14" s="1033"/>
      <c r="H14" s="426"/>
      <c r="I14" s="426"/>
      <c r="J14" s="426"/>
      <c r="K14" s="426"/>
      <c r="L14" s="426"/>
      <c r="M14" s="39"/>
      <c r="N14" s="39"/>
      <c r="O14" s="39"/>
      <c r="P14" s="39"/>
      <c r="Q14" s="39"/>
      <c r="R14" s="39"/>
      <c r="S14" s="39"/>
      <c r="T14" s="39"/>
    </row>
    <row r="15" spans="1:20" ht="15" x14ac:dyDescent="0.25">
      <c r="A15" s="1035" t="s">
        <v>476</v>
      </c>
      <c r="B15" s="1036"/>
      <c r="C15" s="1034" t="s">
        <v>219</v>
      </c>
      <c r="D15" s="1034"/>
      <c r="E15" s="427" t="s">
        <v>18</v>
      </c>
      <c r="F15" s="39"/>
      <c r="G15" s="39"/>
      <c r="H15" s="426"/>
      <c r="I15" s="426"/>
      <c r="J15" s="426"/>
      <c r="K15" s="426"/>
      <c r="L15" s="426"/>
      <c r="M15" s="39"/>
      <c r="N15" s="39"/>
      <c r="O15" s="39"/>
      <c r="P15" s="39"/>
      <c r="Q15" s="39"/>
      <c r="R15" s="39"/>
      <c r="S15" s="39"/>
      <c r="T15" s="39"/>
    </row>
    <row r="16" spans="1:20" ht="15" x14ac:dyDescent="0.25">
      <c r="A16" s="1031" t="s">
        <v>586</v>
      </c>
      <c r="B16" s="1032"/>
      <c r="C16" s="1031" t="s">
        <v>641</v>
      </c>
      <c r="D16" s="1032"/>
      <c r="E16" s="428" t="s">
        <v>642</v>
      </c>
      <c r="F16" s="39"/>
      <c r="G16" s="39"/>
      <c r="H16" s="426"/>
      <c r="I16" s="426"/>
      <c r="J16" s="426"/>
      <c r="K16" s="426"/>
      <c r="L16" s="426"/>
      <c r="M16" s="39"/>
      <c r="N16" s="39"/>
      <c r="O16" s="39"/>
      <c r="P16" s="39"/>
      <c r="Q16" s="39"/>
      <c r="R16" s="39"/>
      <c r="S16" s="39"/>
      <c r="T16" s="39"/>
    </row>
    <row r="17" spans="1:20" ht="15" x14ac:dyDescent="0.25">
      <c r="A17" s="39"/>
      <c r="B17" s="39"/>
      <c r="C17" s="39"/>
      <c r="D17" s="39"/>
      <c r="E17" s="39"/>
      <c r="F17" s="39"/>
      <c r="G17" s="39"/>
      <c r="H17" s="39"/>
      <c r="I17" s="39"/>
      <c r="J17" s="39"/>
      <c r="K17" s="39"/>
      <c r="L17" s="39"/>
      <c r="M17" s="39"/>
      <c r="N17" s="39"/>
      <c r="O17" s="39"/>
      <c r="P17" s="39"/>
      <c r="Q17" s="39"/>
      <c r="R17" s="39"/>
      <c r="S17" s="39"/>
      <c r="T17" s="39"/>
    </row>
    <row r="18" spans="1:20" ht="19.149999999999999" customHeight="1" x14ac:dyDescent="0.2">
      <c r="A18" s="437" t="s">
        <v>182</v>
      </c>
      <c r="B18" s="429"/>
      <c r="C18" s="429"/>
      <c r="D18" s="429"/>
      <c r="E18" s="429"/>
      <c r="F18" s="429"/>
      <c r="G18" s="429"/>
      <c r="H18" s="429"/>
      <c r="I18" s="429"/>
      <c r="J18" s="429"/>
      <c r="K18" s="429"/>
      <c r="L18" s="429"/>
      <c r="M18" s="429"/>
      <c r="N18" s="429"/>
      <c r="O18" s="429"/>
      <c r="P18" s="429"/>
      <c r="Q18" s="429"/>
      <c r="R18" s="429"/>
      <c r="S18" s="429"/>
      <c r="T18" s="430"/>
    </row>
    <row r="19" spans="1:20" ht="15" x14ac:dyDescent="0.2">
      <c r="A19" s="1028" t="s">
        <v>25</v>
      </c>
      <c r="B19" s="1028" t="s">
        <v>50</v>
      </c>
      <c r="C19" s="1028"/>
      <c r="D19" s="1028"/>
      <c r="E19" s="1030" t="s">
        <v>26</v>
      </c>
      <c r="F19" s="1030"/>
      <c r="G19" s="1030"/>
      <c r="H19" s="1030"/>
      <c r="I19" s="1030"/>
      <c r="J19" s="1030"/>
      <c r="K19" s="1030"/>
      <c r="L19" s="1030"/>
      <c r="M19" s="1030" t="s">
        <v>27</v>
      </c>
      <c r="N19" s="1030"/>
      <c r="O19" s="1030"/>
      <c r="P19" s="1030"/>
      <c r="Q19" s="1030"/>
      <c r="R19" s="1030"/>
      <c r="S19" s="1030"/>
      <c r="T19" s="1030"/>
    </row>
    <row r="20" spans="1:20" ht="33.75" customHeight="1" x14ac:dyDescent="0.2">
      <c r="A20" s="1028"/>
      <c r="B20" s="1028"/>
      <c r="C20" s="1028"/>
      <c r="D20" s="1028"/>
      <c r="E20" s="1028" t="s">
        <v>142</v>
      </c>
      <c r="F20" s="1028"/>
      <c r="G20" s="1028" t="s">
        <v>183</v>
      </c>
      <c r="H20" s="1028"/>
      <c r="I20" s="1028" t="s">
        <v>51</v>
      </c>
      <c r="J20" s="1028"/>
      <c r="K20" s="1028" t="s">
        <v>99</v>
      </c>
      <c r="L20" s="1028"/>
      <c r="M20" s="1028" t="s">
        <v>100</v>
      </c>
      <c r="N20" s="1028"/>
      <c r="O20" s="1028" t="s">
        <v>183</v>
      </c>
      <c r="P20" s="1028"/>
      <c r="Q20" s="1028" t="s">
        <v>51</v>
      </c>
      <c r="R20" s="1028"/>
      <c r="S20" s="1028" t="s">
        <v>99</v>
      </c>
      <c r="T20" s="1028"/>
    </row>
    <row r="21" spans="1:20" s="50" customFormat="1" ht="12.75" customHeight="1" x14ac:dyDescent="0.2">
      <c r="A21" s="424">
        <v>1</v>
      </c>
      <c r="B21" s="1029">
        <v>2</v>
      </c>
      <c r="C21" s="1029"/>
      <c r="D21" s="1029"/>
      <c r="E21" s="1029">
        <v>3</v>
      </c>
      <c r="F21" s="1029"/>
      <c r="G21" s="1029">
        <v>4</v>
      </c>
      <c r="H21" s="1029"/>
      <c r="I21" s="1029">
        <v>5</v>
      </c>
      <c r="J21" s="1029"/>
      <c r="K21" s="1029">
        <v>6</v>
      </c>
      <c r="L21" s="1029"/>
      <c r="M21" s="1029">
        <v>3</v>
      </c>
      <c r="N21" s="1029"/>
      <c r="O21" s="1029">
        <v>4</v>
      </c>
      <c r="P21" s="1029"/>
      <c r="Q21" s="1029">
        <v>5</v>
      </c>
      <c r="R21" s="1029"/>
      <c r="S21" s="1029">
        <v>6</v>
      </c>
      <c r="T21" s="1029"/>
    </row>
    <row r="22" spans="1:20" ht="20.100000000000001" customHeight="1" x14ac:dyDescent="0.2">
      <c r="A22" s="191">
        <v>1</v>
      </c>
      <c r="B22" s="1045" t="s">
        <v>52</v>
      </c>
      <c r="C22" s="1045"/>
      <c r="D22" s="1045"/>
      <c r="E22" s="1023">
        <v>100</v>
      </c>
      <c r="F22" s="1023"/>
      <c r="G22" s="1030" t="s">
        <v>383</v>
      </c>
      <c r="H22" s="1030"/>
      <c r="I22" s="1023">
        <v>450</v>
      </c>
      <c r="J22" s="1023"/>
      <c r="K22" s="1023">
        <v>12</v>
      </c>
      <c r="L22" s="1023"/>
      <c r="M22" s="1023">
        <v>150</v>
      </c>
      <c r="N22" s="1023"/>
      <c r="O22" s="1030" t="s">
        <v>383</v>
      </c>
      <c r="P22" s="1030"/>
      <c r="Q22" s="1023">
        <v>700</v>
      </c>
      <c r="R22" s="1023"/>
      <c r="S22" s="1023">
        <v>20</v>
      </c>
      <c r="T22" s="1023"/>
    </row>
    <row r="23" spans="1:20" ht="20.100000000000001" customHeight="1" x14ac:dyDescent="0.2">
      <c r="A23" s="191">
        <v>2</v>
      </c>
      <c r="B23" s="1027" t="s">
        <v>53</v>
      </c>
      <c r="C23" s="1027"/>
      <c r="D23" s="1027"/>
      <c r="E23" s="1023">
        <v>20</v>
      </c>
      <c r="F23" s="1023"/>
      <c r="G23" s="1044">
        <v>1.33</v>
      </c>
      <c r="H23" s="1044"/>
      <c r="I23" s="1023"/>
      <c r="J23" s="1023"/>
      <c r="K23" s="1023"/>
      <c r="L23" s="1023"/>
      <c r="M23" s="1023">
        <v>30</v>
      </c>
      <c r="N23" s="1023"/>
      <c r="O23" s="1044">
        <v>2</v>
      </c>
      <c r="P23" s="1044"/>
      <c r="Q23" s="1023"/>
      <c r="R23" s="1023"/>
      <c r="S23" s="1023"/>
      <c r="T23" s="1023"/>
    </row>
    <row r="24" spans="1:20" ht="20.100000000000001" customHeight="1" x14ac:dyDescent="0.2">
      <c r="A24" s="191">
        <v>3</v>
      </c>
      <c r="B24" s="1027" t="s">
        <v>184</v>
      </c>
      <c r="C24" s="1027"/>
      <c r="D24" s="1027"/>
      <c r="E24" s="1023">
        <v>50</v>
      </c>
      <c r="F24" s="1023"/>
      <c r="G24" s="1044">
        <v>1</v>
      </c>
      <c r="H24" s="1044"/>
      <c r="I24" s="1023"/>
      <c r="J24" s="1023"/>
      <c r="K24" s="1023"/>
      <c r="L24" s="1023"/>
      <c r="M24" s="1023">
        <v>75</v>
      </c>
      <c r="N24" s="1023"/>
      <c r="O24" s="1044">
        <v>1.51</v>
      </c>
      <c r="P24" s="1044"/>
      <c r="Q24" s="1023"/>
      <c r="R24" s="1023"/>
      <c r="S24" s="1023"/>
      <c r="T24" s="1023"/>
    </row>
    <row r="25" spans="1:20" ht="20.100000000000001" customHeight="1" x14ac:dyDescent="0.2">
      <c r="A25" s="191">
        <v>4</v>
      </c>
      <c r="B25" s="1027" t="s">
        <v>54</v>
      </c>
      <c r="C25" s="1027"/>
      <c r="D25" s="1027"/>
      <c r="E25" s="1023">
        <v>5</v>
      </c>
      <c r="F25" s="1023"/>
      <c r="G25" s="1044">
        <v>0.63</v>
      </c>
      <c r="H25" s="1044"/>
      <c r="I25" s="1023"/>
      <c r="J25" s="1023"/>
      <c r="K25" s="1023"/>
      <c r="L25" s="1023"/>
      <c r="M25" s="1023">
        <v>7.5</v>
      </c>
      <c r="N25" s="1023"/>
      <c r="O25" s="1044">
        <v>0.95</v>
      </c>
      <c r="P25" s="1044"/>
      <c r="Q25" s="1023"/>
      <c r="R25" s="1023"/>
      <c r="S25" s="1023"/>
      <c r="T25" s="1023"/>
    </row>
    <row r="26" spans="1:20" ht="20.100000000000001" customHeight="1" x14ac:dyDescent="0.2">
      <c r="A26" s="191">
        <v>5</v>
      </c>
      <c r="B26" s="1027" t="s">
        <v>55</v>
      </c>
      <c r="C26" s="1027"/>
      <c r="D26" s="1027"/>
      <c r="E26" s="1023" t="s">
        <v>384</v>
      </c>
      <c r="F26" s="1023"/>
      <c r="G26" s="1044">
        <v>0.62</v>
      </c>
      <c r="H26" s="1044"/>
      <c r="I26" s="1023"/>
      <c r="J26" s="1023"/>
      <c r="K26" s="1023"/>
      <c r="L26" s="1023"/>
      <c r="M26" s="1023" t="s">
        <v>384</v>
      </c>
      <c r="N26" s="1023"/>
      <c r="O26" s="1044">
        <v>0.91</v>
      </c>
      <c r="P26" s="1044"/>
      <c r="Q26" s="1023"/>
      <c r="R26" s="1023"/>
      <c r="S26" s="1023"/>
      <c r="T26" s="1023"/>
    </row>
    <row r="27" spans="1:20" ht="20.100000000000001" customHeight="1" x14ac:dyDescent="0.2">
      <c r="A27" s="191">
        <v>6</v>
      </c>
      <c r="B27" s="1027" t="s">
        <v>56</v>
      </c>
      <c r="C27" s="1027"/>
      <c r="D27" s="1027"/>
      <c r="E27" s="1023"/>
      <c r="F27" s="1023"/>
      <c r="G27" s="1044">
        <v>0.77</v>
      </c>
      <c r="H27" s="1044"/>
      <c r="I27" s="1023"/>
      <c r="J27" s="1023"/>
      <c r="K27" s="1023"/>
      <c r="L27" s="1023"/>
      <c r="M27" s="1023"/>
      <c r="N27" s="1023"/>
      <c r="O27" s="1044">
        <v>1.1399999999999999</v>
      </c>
      <c r="P27" s="1044"/>
      <c r="Q27" s="1023"/>
      <c r="R27" s="1023"/>
      <c r="S27" s="1023"/>
      <c r="T27" s="1023"/>
    </row>
    <row r="28" spans="1:20" ht="20.100000000000001" customHeight="1" x14ac:dyDescent="0.2">
      <c r="A28" s="191">
        <v>7</v>
      </c>
      <c r="B28" s="1027" t="s">
        <v>185</v>
      </c>
      <c r="C28" s="1027"/>
      <c r="D28" s="1027"/>
      <c r="E28" s="1023"/>
      <c r="F28" s="1023"/>
      <c r="G28" s="1023">
        <v>0</v>
      </c>
      <c r="H28" s="1023"/>
      <c r="I28" s="1023"/>
      <c r="J28" s="1023"/>
      <c r="K28" s="1023"/>
      <c r="L28" s="1023"/>
      <c r="M28" s="1023"/>
      <c r="N28" s="1023"/>
      <c r="O28" s="1023">
        <v>0</v>
      </c>
      <c r="P28" s="1023"/>
      <c r="Q28" s="1023"/>
      <c r="R28" s="1023"/>
      <c r="S28" s="1023"/>
      <c r="T28" s="1023"/>
    </row>
    <row r="29" spans="1:20" ht="15" x14ac:dyDescent="0.2">
      <c r="A29" s="191"/>
      <c r="B29" s="1028" t="s">
        <v>18</v>
      </c>
      <c r="C29" s="1028"/>
      <c r="D29" s="1028"/>
      <c r="E29" s="1030"/>
      <c r="F29" s="1030"/>
      <c r="G29" s="1043">
        <f>G23+G24+G25+G26+G27+G28</f>
        <v>4.3499999999999996</v>
      </c>
      <c r="H29" s="1030"/>
      <c r="I29" s="1030"/>
      <c r="J29" s="1030"/>
      <c r="K29" s="1030"/>
      <c r="L29" s="1030"/>
      <c r="M29" s="1030"/>
      <c r="N29" s="1030"/>
      <c r="O29" s="1043">
        <f>O23+O24+O25+O26+O27+O28</f>
        <v>6.51</v>
      </c>
      <c r="P29" s="1030"/>
      <c r="Q29" s="1030"/>
      <c r="R29" s="1030"/>
      <c r="S29" s="1030"/>
      <c r="T29" s="1030"/>
    </row>
    <row r="30" spans="1:20" ht="15" x14ac:dyDescent="0.25">
      <c r="A30" s="431"/>
      <c r="B30" s="432"/>
      <c r="C30" s="432"/>
      <c r="D30" s="432"/>
      <c r="E30" s="281"/>
      <c r="F30" s="281"/>
      <c r="G30" s="281"/>
      <c r="H30" s="281"/>
      <c r="I30" s="281"/>
      <c r="J30" s="281"/>
      <c r="K30" s="281"/>
      <c r="L30" s="281"/>
      <c r="M30" s="281"/>
      <c r="N30" s="281"/>
      <c r="O30" s="281"/>
      <c r="P30" s="281"/>
      <c r="Q30" s="281"/>
      <c r="R30" s="281"/>
      <c r="S30" s="281"/>
      <c r="T30" s="281"/>
    </row>
    <row r="31" spans="1:20" ht="15" x14ac:dyDescent="0.25">
      <c r="A31" s="433" t="s">
        <v>477</v>
      </c>
      <c r="B31" s="1054" t="s">
        <v>478</v>
      </c>
      <c r="C31" s="1054"/>
      <c r="D31" s="1054"/>
      <c r="E31" s="1054"/>
      <c r="F31" s="1054"/>
      <c r="G31" s="1054"/>
      <c r="H31" s="1054"/>
      <c r="I31" s="281"/>
      <c r="J31" s="281"/>
      <c r="K31" s="281"/>
      <c r="L31" s="281"/>
      <c r="M31" s="281"/>
      <c r="N31" s="281"/>
      <c r="O31" s="281"/>
      <c r="P31" s="281"/>
      <c r="Q31" s="281"/>
      <c r="R31" s="281"/>
      <c r="S31" s="281"/>
      <c r="T31" s="281"/>
    </row>
    <row r="32" spans="1:20" ht="15" x14ac:dyDescent="0.25">
      <c r="A32" s="433"/>
      <c r="B32" s="432"/>
      <c r="C32" s="432"/>
      <c r="D32" s="432"/>
      <c r="E32" s="281"/>
      <c r="F32" s="281"/>
      <c r="G32" s="281"/>
      <c r="H32" s="281"/>
      <c r="I32" s="281"/>
      <c r="J32" s="281"/>
      <c r="K32" s="281"/>
      <c r="L32" s="281"/>
      <c r="M32" s="281"/>
      <c r="N32" s="281"/>
      <c r="O32" s="281"/>
      <c r="P32" s="281"/>
      <c r="Q32" s="281"/>
      <c r="R32" s="281"/>
      <c r="S32" s="281"/>
      <c r="T32" s="281"/>
    </row>
    <row r="33" spans="1:20" ht="15" x14ac:dyDescent="0.25">
      <c r="A33" s="1025" t="s">
        <v>25</v>
      </c>
      <c r="B33" s="1055" t="s">
        <v>479</v>
      </c>
      <c r="C33" s="1056"/>
      <c r="D33" s="1057"/>
      <c r="E33" s="1061" t="s">
        <v>26</v>
      </c>
      <c r="F33" s="1062"/>
      <c r="G33" s="1062"/>
      <c r="H33" s="1062"/>
      <c r="I33" s="1062"/>
      <c r="J33" s="1063"/>
      <c r="K33" s="1048" t="s">
        <v>27</v>
      </c>
      <c r="L33" s="1048"/>
      <c r="M33" s="1048"/>
      <c r="N33" s="1048"/>
      <c r="O33" s="1048"/>
      <c r="P33" s="1048"/>
      <c r="Q33" s="281"/>
      <c r="R33" s="281"/>
      <c r="S33" s="281"/>
      <c r="T33" s="281"/>
    </row>
    <row r="34" spans="1:20" ht="15" x14ac:dyDescent="0.25">
      <c r="A34" s="1026"/>
      <c r="B34" s="1058"/>
      <c r="C34" s="1059"/>
      <c r="D34" s="1060"/>
      <c r="E34" s="1052" t="s">
        <v>480</v>
      </c>
      <c r="F34" s="1053"/>
      <c r="G34" s="1052" t="s">
        <v>481</v>
      </c>
      <c r="H34" s="1053"/>
      <c r="I34" s="1052" t="s">
        <v>482</v>
      </c>
      <c r="J34" s="1053"/>
      <c r="K34" s="1048" t="s">
        <v>480</v>
      </c>
      <c r="L34" s="1048"/>
      <c r="M34" s="1048" t="s">
        <v>481</v>
      </c>
      <c r="N34" s="1048"/>
      <c r="O34" s="1048" t="s">
        <v>482</v>
      </c>
      <c r="P34" s="1048"/>
      <c r="Q34" s="281"/>
      <c r="R34" s="281"/>
      <c r="S34" s="281"/>
      <c r="T34" s="281"/>
    </row>
    <row r="35" spans="1:20" ht="40.5" customHeight="1" x14ac:dyDescent="0.25">
      <c r="A35" s="434">
        <v>1</v>
      </c>
      <c r="B35" s="1049" t="s">
        <v>690</v>
      </c>
      <c r="C35" s="1050"/>
      <c r="D35" s="1051"/>
      <c r="E35" s="1046">
        <v>1</v>
      </c>
      <c r="F35" s="1047"/>
      <c r="G35" s="1046">
        <v>5</v>
      </c>
      <c r="H35" s="1047"/>
      <c r="I35" s="1046" t="s">
        <v>689</v>
      </c>
      <c r="J35" s="1047"/>
      <c r="K35" s="1030">
        <v>1</v>
      </c>
      <c r="L35" s="1030"/>
      <c r="M35" s="1030">
        <v>5</v>
      </c>
      <c r="N35" s="1030"/>
      <c r="O35" s="1046" t="s">
        <v>689</v>
      </c>
      <c r="P35" s="1047"/>
      <c r="Q35" s="281"/>
      <c r="R35" s="281"/>
      <c r="S35" s="281"/>
      <c r="T35" s="281"/>
    </row>
    <row r="36" spans="1:20" ht="15" x14ac:dyDescent="0.25">
      <c r="A36" s="434">
        <v>2</v>
      </c>
      <c r="B36" s="1052"/>
      <c r="C36" s="1064"/>
      <c r="D36" s="1053"/>
      <c r="E36" s="1052"/>
      <c r="F36" s="1053"/>
      <c r="G36" s="1052"/>
      <c r="H36" s="1053"/>
      <c r="I36" s="1052"/>
      <c r="J36" s="1053"/>
      <c r="K36" s="1048"/>
      <c r="L36" s="1048"/>
      <c r="M36" s="1048"/>
      <c r="N36" s="1048"/>
      <c r="O36" s="1048"/>
      <c r="P36" s="1048"/>
      <c r="Q36" s="281"/>
      <c r="R36" s="281"/>
      <c r="S36" s="281"/>
      <c r="T36" s="281"/>
    </row>
    <row r="37" spans="1:20" ht="15" x14ac:dyDescent="0.25">
      <c r="A37" s="434">
        <v>3</v>
      </c>
      <c r="B37" s="1052"/>
      <c r="C37" s="1064"/>
      <c r="D37" s="1053"/>
      <c r="E37" s="1052"/>
      <c r="F37" s="1053"/>
      <c r="G37" s="1052"/>
      <c r="H37" s="1053"/>
      <c r="I37" s="1052"/>
      <c r="J37" s="1053"/>
      <c r="K37" s="1048"/>
      <c r="L37" s="1048"/>
      <c r="M37" s="1048"/>
      <c r="N37" s="1048"/>
      <c r="O37" s="1048"/>
      <c r="P37" s="1048"/>
      <c r="Q37" s="281"/>
      <c r="R37" s="281"/>
      <c r="S37" s="281"/>
      <c r="T37" s="281"/>
    </row>
    <row r="38" spans="1:20" ht="15" x14ac:dyDescent="0.25">
      <c r="A38" s="434">
        <v>4</v>
      </c>
      <c r="B38" s="1061"/>
      <c r="C38" s="1062"/>
      <c r="D38" s="1063"/>
      <c r="E38" s="1052"/>
      <c r="F38" s="1053"/>
      <c r="G38" s="1052"/>
      <c r="H38" s="1053"/>
      <c r="I38" s="1052"/>
      <c r="J38" s="1053"/>
      <c r="K38" s="1048"/>
      <c r="L38" s="1048"/>
      <c r="M38" s="1048"/>
      <c r="N38" s="1048"/>
      <c r="O38" s="1048"/>
      <c r="P38" s="1048"/>
      <c r="Q38" s="281"/>
      <c r="R38" s="281"/>
      <c r="S38" s="281"/>
      <c r="T38" s="281"/>
    </row>
    <row r="39" spans="1:20" ht="15" x14ac:dyDescent="0.25">
      <c r="A39" s="431"/>
      <c r="B39" s="432"/>
      <c r="C39" s="432"/>
      <c r="D39" s="432"/>
      <c r="E39" s="281"/>
      <c r="F39" s="281"/>
      <c r="G39" s="281"/>
      <c r="H39" s="281"/>
      <c r="I39" s="281"/>
      <c r="J39" s="281"/>
      <c r="K39" s="281"/>
      <c r="L39" s="281"/>
      <c r="M39" s="281"/>
      <c r="N39" s="281"/>
      <c r="O39" s="281"/>
      <c r="P39" s="281"/>
      <c r="Q39" s="281"/>
      <c r="R39" s="281"/>
      <c r="S39" s="281"/>
      <c r="T39" s="281"/>
    </row>
    <row r="40" spans="1:20" ht="13.9" customHeight="1" x14ac:dyDescent="0.25">
      <c r="A40" s="1072" t="s">
        <v>196</v>
      </c>
      <c r="B40" s="1072"/>
      <c r="C40" s="1072"/>
      <c r="D40" s="1072"/>
      <c r="E40" s="1072"/>
      <c r="F40" s="1072"/>
      <c r="G40" s="1072"/>
      <c r="H40" s="1072"/>
      <c r="I40" s="1072"/>
      <c r="J40" s="39"/>
      <c r="K40" s="39"/>
      <c r="L40" s="39"/>
      <c r="M40" s="39"/>
      <c r="N40" s="39"/>
      <c r="O40" s="39"/>
      <c r="P40" s="39"/>
      <c r="Q40" s="39"/>
      <c r="R40" s="39"/>
      <c r="S40" s="39"/>
      <c r="T40" s="39"/>
    </row>
    <row r="41" spans="1:20" ht="13.9" customHeight="1" x14ac:dyDescent="0.25">
      <c r="A41" s="1030" t="s">
        <v>59</v>
      </c>
      <c r="B41" s="1030" t="s">
        <v>26</v>
      </c>
      <c r="C41" s="1030"/>
      <c r="D41" s="1030"/>
      <c r="E41" s="1028" t="s">
        <v>27</v>
      </c>
      <c r="F41" s="1028"/>
      <c r="G41" s="1028"/>
      <c r="H41" s="1025" t="s">
        <v>159</v>
      </c>
      <c r="I41" s="38"/>
      <c r="J41" s="39"/>
      <c r="K41" s="39"/>
      <c r="L41" s="39"/>
      <c r="M41" s="39"/>
      <c r="N41" s="39"/>
      <c r="O41" s="39"/>
      <c r="P41" s="39"/>
      <c r="Q41" s="39"/>
      <c r="R41" s="39"/>
      <c r="S41" s="39"/>
      <c r="T41" s="39"/>
    </row>
    <row r="42" spans="1:20" ht="15" x14ac:dyDescent="0.25">
      <c r="A42" s="1030"/>
      <c r="B42" s="191" t="s">
        <v>186</v>
      </c>
      <c r="C42" s="192" t="s">
        <v>106</v>
      </c>
      <c r="D42" s="191" t="s">
        <v>18</v>
      </c>
      <c r="E42" s="191" t="s">
        <v>186</v>
      </c>
      <c r="F42" s="192" t="s">
        <v>106</v>
      </c>
      <c r="G42" s="191" t="s">
        <v>18</v>
      </c>
      <c r="H42" s="1026"/>
      <c r="I42" s="38"/>
      <c r="J42" s="39"/>
      <c r="K42" s="39"/>
      <c r="L42" s="39"/>
      <c r="M42" s="39"/>
      <c r="N42" s="39"/>
      <c r="O42" s="39"/>
      <c r="P42" s="39"/>
      <c r="Q42" s="39"/>
      <c r="R42" s="39"/>
      <c r="S42" s="39"/>
      <c r="T42" s="39"/>
    </row>
    <row r="43" spans="1:20" ht="15" x14ac:dyDescent="0.25">
      <c r="A43" s="191" t="s">
        <v>251</v>
      </c>
      <c r="B43" s="199">
        <v>2.33</v>
      </c>
      <c r="C43" s="199">
        <v>0.78</v>
      </c>
      <c r="D43" s="191">
        <f t="shared" ref="D43:D48" si="0">B43+C43</f>
        <v>3.1100000000000003</v>
      </c>
      <c r="E43" s="199">
        <v>3.49</v>
      </c>
      <c r="F43" s="199">
        <v>1.1599999999999999</v>
      </c>
      <c r="G43" s="191">
        <f t="shared" ref="G43:G48" si="1">E43+F43</f>
        <v>4.6500000000000004</v>
      </c>
      <c r="H43" s="199"/>
      <c r="I43" s="38"/>
      <c r="J43" s="39"/>
      <c r="K43" s="39"/>
      <c r="L43" s="39"/>
      <c r="M43" s="39"/>
      <c r="N43" s="39"/>
      <c r="O43" s="39"/>
      <c r="P43" s="39"/>
      <c r="Q43" s="39"/>
      <c r="R43" s="39"/>
      <c r="S43" s="39"/>
      <c r="T43" s="39"/>
    </row>
    <row r="44" spans="1:20" ht="15" x14ac:dyDescent="0.25">
      <c r="A44" s="191" t="s">
        <v>278</v>
      </c>
      <c r="B44" s="344">
        <v>2.5099999999999998</v>
      </c>
      <c r="C44" s="344">
        <v>0.83</v>
      </c>
      <c r="D44" s="191">
        <f t="shared" si="0"/>
        <v>3.34</v>
      </c>
      <c r="E44" s="344">
        <v>3.75</v>
      </c>
      <c r="F44" s="344">
        <v>1.25</v>
      </c>
      <c r="G44" s="345">
        <f t="shared" si="1"/>
        <v>5</v>
      </c>
      <c r="H44" s="199"/>
      <c r="I44" s="38"/>
      <c r="J44" s="39"/>
      <c r="K44" s="39"/>
      <c r="L44" s="39"/>
      <c r="M44" s="39"/>
      <c r="N44" s="39"/>
      <c r="O44" s="39"/>
      <c r="P44" s="39"/>
      <c r="Q44" s="39"/>
      <c r="R44" s="39"/>
      <c r="S44" s="39"/>
      <c r="T44" s="39"/>
    </row>
    <row r="45" spans="1:20" ht="15" x14ac:dyDescent="0.25">
      <c r="A45" s="191" t="s">
        <v>465</v>
      </c>
      <c r="B45" s="344">
        <v>2.69</v>
      </c>
      <c r="C45" s="344">
        <v>0.9</v>
      </c>
      <c r="D45" s="191">
        <f t="shared" si="0"/>
        <v>3.59</v>
      </c>
      <c r="E45" s="344">
        <v>4.03</v>
      </c>
      <c r="F45" s="344">
        <v>1.35</v>
      </c>
      <c r="G45" s="191">
        <f t="shared" si="1"/>
        <v>5.3800000000000008</v>
      </c>
      <c r="H45" s="191"/>
      <c r="I45" s="38"/>
      <c r="J45" s="39"/>
      <c r="K45" s="39"/>
      <c r="L45" s="39"/>
      <c r="M45" s="39"/>
      <c r="N45" s="39"/>
      <c r="O45" s="39"/>
      <c r="P45" s="39"/>
      <c r="Q45" s="39"/>
      <c r="R45" s="39"/>
      <c r="S45" s="39"/>
      <c r="T45" s="39"/>
    </row>
    <row r="46" spans="1:20" ht="15" x14ac:dyDescent="0.25">
      <c r="A46" s="191" t="s">
        <v>474</v>
      </c>
      <c r="B46" s="344">
        <v>3.47</v>
      </c>
      <c r="C46" s="344">
        <v>0.39</v>
      </c>
      <c r="D46" s="191">
        <f t="shared" si="0"/>
        <v>3.8600000000000003</v>
      </c>
      <c r="E46" s="344">
        <v>5.2</v>
      </c>
      <c r="F46" s="199">
        <v>0.57999999999999996</v>
      </c>
      <c r="G46" s="191">
        <f t="shared" si="1"/>
        <v>5.78</v>
      </c>
      <c r="H46" s="191"/>
      <c r="I46" s="38"/>
      <c r="J46" s="39"/>
      <c r="K46" s="39"/>
      <c r="L46" s="39"/>
      <c r="M46" s="39"/>
      <c r="N46" s="39"/>
      <c r="O46" s="39"/>
      <c r="P46" s="39"/>
      <c r="Q46" s="39"/>
      <c r="R46" s="39"/>
      <c r="S46" s="39"/>
      <c r="T46" s="39"/>
    </row>
    <row r="47" spans="1:20" ht="15" x14ac:dyDescent="0.25">
      <c r="A47" s="191" t="s">
        <v>605</v>
      </c>
      <c r="B47" s="344">
        <v>3.72</v>
      </c>
      <c r="C47" s="344">
        <v>0.41</v>
      </c>
      <c r="D47" s="191">
        <f t="shared" si="0"/>
        <v>4.13</v>
      </c>
      <c r="E47" s="344">
        <v>5.56</v>
      </c>
      <c r="F47" s="199">
        <v>0.62</v>
      </c>
      <c r="G47" s="191">
        <f t="shared" si="1"/>
        <v>6.18</v>
      </c>
      <c r="H47" s="191"/>
      <c r="I47" s="38"/>
      <c r="J47" s="39"/>
      <c r="K47" s="39"/>
      <c r="L47" s="39"/>
      <c r="M47" s="39"/>
      <c r="N47" s="39"/>
      <c r="O47" s="39"/>
      <c r="P47" s="39"/>
      <c r="Q47" s="39"/>
      <c r="R47" s="39"/>
      <c r="S47" s="39"/>
      <c r="T47" s="39"/>
    </row>
    <row r="48" spans="1:20" ht="15" x14ac:dyDescent="0.25">
      <c r="A48" s="191" t="s">
        <v>639</v>
      </c>
      <c r="B48" s="418">
        <v>3.72</v>
      </c>
      <c r="C48" s="418">
        <v>0.41</v>
      </c>
      <c r="D48" s="531">
        <f t="shared" si="0"/>
        <v>4.13</v>
      </c>
      <c r="E48" s="332">
        <v>5.56</v>
      </c>
      <c r="F48" s="332">
        <v>0.62</v>
      </c>
      <c r="G48" s="531">
        <f t="shared" si="1"/>
        <v>6.18</v>
      </c>
      <c r="H48" s="531"/>
      <c r="I48" s="39"/>
      <c r="J48" s="39"/>
      <c r="K48" s="39"/>
      <c r="L48" s="39"/>
      <c r="M48" s="39"/>
      <c r="N48" s="39"/>
      <c r="O48" s="39"/>
      <c r="P48" s="39"/>
      <c r="Q48" s="39"/>
      <c r="R48" s="39"/>
      <c r="S48" s="39"/>
      <c r="T48" s="39"/>
    </row>
    <row r="49" spans="1:20" ht="15" x14ac:dyDescent="0.25">
      <c r="A49" s="634" t="s">
        <v>720</v>
      </c>
      <c r="B49" s="418">
        <v>3.72</v>
      </c>
      <c r="C49" s="418">
        <v>0.41</v>
      </c>
      <c r="D49" s="531">
        <f t="shared" ref="D49" si="2">B49+C49</f>
        <v>4.13</v>
      </c>
      <c r="E49" s="332">
        <v>5.56</v>
      </c>
      <c r="F49" s="332">
        <v>0.62</v>
      </c>
      <c r="G49" s="531">
        <f t="shared" ref="G49" si="3">E49+F49</f>
        <v>6.18</v>
      </c>
      <c r="H49" s="531"/>
      <c r="I49" s="39"/>
      <c r="J49" s="39"/>
      <c r="K49" s="39"/>
      <c r="L49" s="39"/>
      <c r="M49" s="39"/>
      <c r="N49" s="39"/>
      <c r="O49" s="39"/>
      <c r="P49" s="39"/>
      <c r="Q49" s="39"/>
      <c r="R49" s="39"/>
      <c r="S49" s="39"/>
      <c r="T49" s="39"/>
    </row>
    <row r="50" spans="1:20" ht="15" x14ac:dyDescent="0.25">
      <c r="A50" s="771" t="s">
        <v>787</v>
      </c>
      <c r="B50" s="418">
        <v>3.91</v>
      </c>
      <c r="C50" s="418">
        <v>0.44</v>
      </c>
      <c r="D50" s="531">
        <f t="shared" ref="D50" si="4">B50+C50</f>
        <v>4.3500000000000005</v>
      </c>
      <c r="E50" s="332">
        <v>5.86</v>
      </c>
      <c r="F50" s="332">
        <v>0.65</v>
      </c>
      <c r="G50" s="531">
        <f t="shared" ref="G50" si="5">E50+F50</f>
        <v>6.5100000000000007</v>
      </c>
      <c r="H50" s="531"/>
      <c r="I50" s="39"/>
      <c r="J50" s="39"/>
      <c r="K50" s="39"/>
      <c r="L50" s="39"/>
      <c r="M50" s="39"/>
      <c r="N50" s="39"/>
      <c r="O50" s="39"/>
      <c r="P50" s="39"/>
      <c r="Q50" s="39"/>
      <c r="R50" s="39"/>
      <c r="S50" s="39"/>
      <c r="T50" s="39"/>
    </row>
    <row r="51" spans="1:20" ht="15" x14ac:dyDescent="0.25">
      <c r="A51" s="438" t="s">
        <v>253</v>
      </c>
      <c r="B51" s="39"/>
      <c r="C51" s="39"/>
      <c r="D51" s="39"/>
      <c r="E51" s="39"/>
      <c r="F51" s="39"/>
      <c r="G51" s="39"/>
      <c r="H51" s="39"/>
      <c r="I51" s="39"/>
      <c r="J51" s="39"/>
      <c r="K51" s="39"/>
      <c r="L51" s="39"/>
      <c r="M51" s="39"/>
      <c r="N51" s="39"/>
      <c r="O51" s="39"/>
      <c r="P51" s="39"/>
      <c r="Q51" s="39"/>
      <c r="R51" s="39"/>
      <c r="S51" s="39"/>
      <c r="T51" s="39"/>
    </row>
    <row r="52" spans="1:20" ht="15" x14ac:dyDescent="0.25">
      <c r="A52" s="74"/>
      <c r="B52" s="39"/>
      <c r="C52" s="39"/>
      <c r="D52" s="39"/>
      <c r="E52" s="39"/>
      <c r="F52" s="39"/>
      <c r="G52" s="39"/>
      <c r="H52" s="39"/>
      <c r="I52" s="39"/>
      <c r="J52" s="39"/>
      <c r="K52" s="39"/>
      <c r="L52" s="39"/>
      <c r="M52" s="39"/>
      <c r="N52" s="39"/>
      <c r="O52" s="39"/>
      <c r="P52" s="39"/>
      <c r="Q52" s="39"/>
      <c r="R52" s="39"/>
      <c r="S52" s="39"/>
      <c r="T52" s="39"/>
    </row>
    <row r="53" spans="1:20" ht="15" x14ac:dyDescent="0.25">
      <c r="A53" s="423"/>
      <c r="B53" s="281"/>
      <c r="C53" s="281"/>
      <c r="D53" s="280"/>
      <c r="E53" s="280"/>
      <c r="F53" s="280"/>
      <c r="G53" s="280"/>
      <c r="H53" s="280"/>
      <c r="I53" s="39"/>
      <c r="J53" s="39"/>
      <c r="K53" s="39"/>
      <c r="L53" s="39"/>
      <c r="M53" s="39"/>
      <c r="N53" s="39"/>
      <c r="O53" s="39"/>
      <c r="P53" s="39"/>
      <c r="Q53" s="39"/>
      <c r="R53" s="39"/>
      <c r="S53" s="39"/>
      <c r="T53" s="39"/>
    </row>
    <row r="54" spans="1:20" ht="15" x14ac:dyDescent="0.25">
      <c r="A54" s="435"/>
      <c r="B54" s="639"/>
      <c r="C54" s="639"/>
      <c r="D54" s="40"/>
      <c r="E54" s="40"/>
      <c r="F54" s="280"/>
      <c r="G54" s="280"/>
      <c r="H54" s="280"/>
      <c r="I54" s="39"/>
      <c r="J54" s="39"/>
      <c r="K54" s="39"/>
      <c r="L54" s="39"/>
      <c r="M54" s="39"/>
      <c r="N54" s="39"/>
      <c r="O54" s="39"/>
      <c r="P54" s="39"/>
      <c r="Q54" s="39"/>
      <c r="R54" s="39"/>
      <c r="S54" s="39"/>
      <c r="T54" s="39"/>
    </row>
    <row r="55" spans="1:20" ht="15" x14ac:dyDescent="0.25">
      <c r="A55" s="639"/>
      <c r="B55" s="426"/>
      <c r="C55" s="1071"/>
      <c r="D55" s="1071"/>
      <c r="E55" s="1067"/>
      <c r="F55" s="1067"/>
      <c r="G55" s="280"/>
      <c r="H55" s="280"/>
      <c r="I55" s="39"/>
      <c r="J55" s="39"/>
      <c r="K55" s="39"/>
      <c r="L55" s="39"/>
      <c r="M55" s="39"/>
      <c r="N55" s="39"/>
      <c r="O55" s="39"/>
      <c r="P55" s="39"/>
      <c r="Q55" s="39"/>
      <c r="R55" s="39"/>
      <c r="S55" s="39"/>
      <c r="T55" s="39"/>
    </row>
    <row r="56" spans="1:20" ht="15" x14ac:dyDescent="0.25">
      <c r="A56" s="423"/>
      <c r="B56" s="639"/>
      <c r="C56" s="1067"/>
      <c r="D56" s="1067"/>
      <c r="E56" s="1068"/>
      <c r="F56" s="1069"/>
      <c r="G56" s="280"/>
      <c r="H56" s="280"/>
      <c r="I56" s="39"/>
      <c r="J56" s="39"/>
      <c r="K56" s="39"/>
      <c r="L56" s="39"/>
      <c r="M56" s="39"/>
      <c r="N56" s="39"/>
      <c r="O56" s="39"/>
      <c r="P56" s="39"/>
      <c r="Q56" s="39"/>
      <c r="R56" s="39"/>
      <c r="S56" s="39"/>
      <c r="T56" s="39"/>
    </row>
    <row r="57" spans="1:20" ht="15" x14ac:dyDescent="0.25">
      <c r="A57" s="423"/>
      <c r="B57" s="639"/>
      <c r="C57" s="1067"/>
      <c r="D57" s="1067"/>
      <c r="E57" s="1070"/>
      <c r="F57" s="1069"/>
      <c r="G57" s="280"/>
      <c r="H57" s="280"/>
      <c r="I57" s="39"/>
      <c r="J57" s="39"/>
      <c r="K57" s="39"/>
      <c r="L57" s="39"/>
      <c r="M57" s="39"/>
      <c r="N57" s="39"/>
      <c r="O57" s="39"/>
      <c r="P57" s="39"/>
      <c r="Q57" s="39"/>
      <c r="R57" s="39"/>
      <c r="S57" s="39"/>
      <c r="T57" s="39"/>
    </row>
    <row r="58" spans="1:20" ht="15" x14ac:dyDescent="0.25">
      <c r="A58" s="74"/>
      <c r="B58" s="39"/>
      <c r="C58" s="39"/>
      <c r="D58" s="39"/>
      <c r="E58" s="39"/>
      <c r="F58" s="39"/>
      <c r="G58" s="39"/>
      <c r="H58" s="39"/>
      <c r="I58" s="39"/>
      <c r="J58" s="39"/>
      <c r="K58" s="39"/>
      <c r="L58" s="39"/>
      <c r="M58" s="39"/>
      <c r="N58" s="39"/>
      <c r="O58" s="39"/>
      <c r="P58" s="39"/>
      <c r="Q58" s="39"/>
      <c r="R58" s="39"/>
      <c r="S58" s="39"/>
      <c r="T58" s="39"/>
    </row>
    <row r="59" spans="1:20" ht="15" x14ac:dyDescent="0.25">
      <c r="A59" s="39" t="s">
        <v>11</v>
      </c>
      <c r="B59" s="39"/>
      <c r="C59" s="39"/>
      <c r="D59" s="39"/>
      <c r="E59" s="39"/>
      <c r="F59" s="39"/>
      <c r="G59" s="39"/>
      <c r="H59" s="39"/>
      <c r="I59" s="39"/>
      <c r="J59" s="39"/>
      <c r="K59" s="39"/>
      <c r="L59" s="39"/>
      <c r="M59" s="39"/>
      <c r="N59" s="39"/>
      <c r="O59" s="39"/>
      <c r="P59" s="39"/>
      <c r="Q59" s="39"/>
      <c r="R59" s="39"/>
      <c r="S59" s="39"/>
      <c r="T59" s="39"/>
    </row>
    <row r="60" spans="1:20" s="12" customFormat="1" ht="12.75" customHeight="1" x14ac:dyDescent="0.25">
      <c r="A60" s="38"/>
      <c r="B60" s="39"/>
      <c r="C60" s="39"/>
      <c r="D60" s="39"/>
      <c r="E60" s="39"/>
      <c r="F60" s="39"/>
      <c r="G60" s="39"/>
      <c r="H60" s="38"/>
      <c r="I60" s="39"/>
      <c r="J60" s="38"/>
      <c r="K60" s="38"/>
      <c r="L60" s="38"/>
      <c r="M60" s="38"/>
      <c r="N60" s="38"/>
      <c r="O60" s="1065" t="s">
        <v>12</v>
      </c>
      <c r="P60" s="1066"/>
      <c r="Q60" s="1066"/>
      <c r="R60" s="38"/>
      <c r="S60" s="38"/>
    </row>
    <row r="61" spans="1:20" s="12" customFormat="1" ht="12.75" customHeight="1" x14ac:dyDescent="0.2">
      <c r="A61" s="38"/>
      <c r="B61" s="140"/>
      <c r="C61" s="140"/>
      <c r="D61" s="140"/>
      <c r="E61" s="140"/>
      <c r="F61" s="140"/>
      <c r="G61" s="140"/>
      <c r="H61" s="140"/>
      <c r="I61" s="140"/>
      <c r="J61" s="140"/>
      <c r="K61" s="140"/>
      <c r="L61" s="140"/>
      <c r="M61" s="140"/>
      <c r="N61" s="140"/>
      <c r="O61" s="140"/>
      <c r="P61" s="1024" t="s">
        <v>13</v>
      </c>
      <c r="Q61" s="1024"/>
      <c r="R61" s="1024"/>
      <c r="S61" s="1024"/>
      <c r="T61" s="1024"/>
    </row>
    <row r="62" spans="1:20" s="12" customFormat="1" ht="13.15" customHeight="1" x14ac:dyDescent="0.2">
      <c r="A62" s="1024" t="s">
        <v>93</v>
      </c>
      <c r="B62" s="1024"/>
      <c r="C62" s="1024"/>
      <c r="D62" s="1024"/>
      <c r="E62" s="1024"/>
      <c r="F62" s="1024"/>
      <c r="G62" s="1024"/>
      <c r="H62" s="1024"/>
      <c r="I62" s="1024"/>
      <c r="J62" s="1024"/>
      <c r="K62" s="1024"/>
      <c r="L62" s="1024"/>
      <c r="M62" s="1024"/>
      <c r="N62" s="1024"/>
      <c r="O62" s="1024"/>
      <c r="P62" s="1024"/>
      <c r="Q62" s="1024"/>
      <c r="R62" s="1024"/>
      <c r="S62" s="1024"/>
      <c r="T62" s="1024"/>
    </row>
    <row r="63" spans="1:20" ht="12.75" customHeight="1" x14ac:dyDescent="0.25">
      <c r="A63" s="39"/>
      <c r="B63" s="39"/>
      <c r="C63" s="39"/>
      <c r="D63" s="39"/>
      <c r="E63" s="39"/>
      <c r="F63" s="39"/>
      <c r="G63" s="39"/>
      <c r="H63" s="39"/>
      <c r="I63" s="39"/>
      <c r="J63" s="39"/>
      <c r="K63" s="39"/>
      <c r="L63" s="39"/>
      <c r="M63" s="39"/>
      <c r="O63" s="436"/>
      <c r="P63" s="436" t="s">
        <v>84</v>
      </c>
      <c r="Q63" s="436"/>
      <c r="R63" s="39"/>
      <c r="S63" s="39"/>
    </row>
    <row r="64" spans="1:20" ht="15" x14ac:dyDescent="0.25">
      <c r="B64" s="39"/>
      <c r="C64" s="39"/>
      <c r="D64" s="39"/>
      <c r="E64" s="39"/>
      <c r="F64" s="39"/>
      <c r="G64" s="39"/>
      <c r="H64" s="39"/>
      <c r="I64" s="39"/>
      <c r="J64" s="39"/>
      <c r="K64" s="39"/>
      <c r="L64" s="39"/>
      <c r="M64" s="39"/>
      <c r="N64" s="39"/>
      <c r="O64" s="39"/>
      <c r="P64" s="39"/>
      <c r="Q64" s="39"/>
      <c r="R64" s="39"/>
      <c r="S64" s="39"/>
    </row>
  </sheetData>
  <mergeCells count="159">
    <mergeCell ref="O60:Q60"/>
    <mergeCell ref="O38:P38"/>
    <mergeCell ref="B37:D37"/>
    <mergeCell ref="E37:F37"/>
    <mergeCell ref="C56:D56"/>
    <mergeCell ref="E56:F56"/>
    <mergeCell ref="C57:D57"/>
    <mergeCell ref="E57:F57"/>
    <mergeCell ref="C55:D55"/>
    <mergeCell ref="B41:D41"/>
    <mergeCell ref="E41:G41"/>
    <mergeCell ref="H41:H42"/>
    <mergeCell ref="O37:P37"/>
    <mergeCell ref="E55:F55"/>
    <mergeCell ref="B38:D38"/>
    <mergeCell ref="E38:F38"/>
    <mergeCell ref="G38:H38"/>
    <mergeCell ref="I38:J38"/>
    <mergeCell ref="K38:L38"/>
    <mergeCell ref="A40:I40"/>
    <mergeCell ref="A41:A42"/>
    <mergeCell ref="E33:J33"/>
    <mergeCell ref="B29:D29"/>
    <mergeCell ref="M36:N36"/>
    <mergeCell ref="M38:N38"/>
    <mergeCell ref="G37:H37"/>
    <mergeCell ref="I37:J37"/>
    <mergeCell ref="K37:L37"/>
    <mergeCell ref="M37:N37"/>
    <mergeCell ref="B36:D36"/>
    <mergeCell ref="E36:F36"/>
    <mergeCell ref="G36:H36"/>
    <mergeCell ref="I36:J36"/>
    <mergeCell ref="K36:L36"/>
    <mergeCell ref="O35:P35"/>
    <mergeCell ref="O36:P36"/>
    <mergeCell ref="M35:N35"/>
    <mergeCell ref="B35:D35"/>
    <mergeCell ref="E35:F35"/>
    <mergeCell ref="G35:H35"/>
    <mergeCell ref="I35:J35"/>
    <mergeCell ref="K35:L35"/>
    <mergeCell ref="O25:P25"/>
    <mergeCell ref="M27:N27"/>
    <mergeCell ref="K22:L28"/>
    <mergeCell ref="B25:D25"/>
    <mergeCell ref="M29:N29"/>
    <mergeCell ref="E29:F29"/>
    <mergeCell ref="G29:H29"/>
    <mergeCell ref="K33:P33"/>
    <mergeCell ref="E34:F34"/>
    <mergeCell ref="G34:H34"/>
    <mergeCell ref="I34:J34"/>
    <mergeCell ref="K34:L34"/>
    <mergeCell ref="M34:N34"/>
    <mergeCell ref="O34:P34"/>
    <mergeCell ref="B31:H31"/>
    <mergeCell ref="B33:D34"/>
    <mergeCell ref="G26:H26"/>
    <mergeCell ref="I22:J28"/>
    <mergeCell ref="G27:H27"/>
    <mergeCell ref="B27:D27"/>
    <mergeCell ref="B26:D26"/>
    <mergeCell ref="G23:H23"/>
    <mergeCell ref="O24:P24"/>
    <mergeCell ref="K20:L20"/>
    <mergeCell ref="G24:H24"/>
    <mergeCell ref="G25:H25"/>
    <mergeCell ref="B22:D22"/>
    <mergeCell ref="E21:F21"/>
    <mergeCell ref="E23:F23"/>
    <mergeCell ref="S20:T20"/>
    <mergeCell ref="M20:N20"/>
    <mergeCell ref="Q29:R29"/>
    <mergeCell ref="M23:N23"/>
    <mergeCell ref="O29:P29"/>
    <mergeCell ref="Q22:R28"/>
    <mergeCell ref="S22:T28"/>
    <mergeCell ref="S21:T21"/>
    <mergeCell ref="M22:N22"/>
    <mergeCell ref="O22:P22"/>
    <mergeCell ref="O20:P20"/>
    <mergeCell ref="Q21:R21"/>
    <mergeCell ref="Q20:R20"/>
    <mergeCell ref="O27:P27"/>
    <mergeCell ref="M26:N26"/>
    <mergeCell ref="O21:P21"/>
    <mergeCell ref="O23:P23"/>
    <mergeCell ref="M25:N25"/>
    <mergeCell ref="M21:N21"/>
    <mergeCell ref="O26:P26"/>
    <mergeCell ref="S29:T29"/>
    <mergeCell ref="M28:N28"/>
    <mergeCell ref="O28:P28"/>
    <mergeCell ref="B10:C10"/>
    <mergeCell ref="D10:E10"/>
    <mergeCell ref="B12:C12"/>
    <mergeCell ref="H1:I1"/>
    <mergeCell ref="A2:T2"/>
    <mergeCell ref="A3:T3"/>
    <mergeCell ref="A4:T4"/>
    <mergeCell ref="R1:T1"/>
    <mergeCell ref="B9:C9"/>
    <mergeCell ref="B8:C8"/>
    <mergeCell ref="A6:I6"/>
    <mergeCell ref="A5:C5"/>
    <mergeCell ref="D8:E8"/>
    <mergeCell ref="H8:I8"/>
    <mergeCell ref="J8:K8"/>
    <mergeCell ref="F8:G8"/>
    <mergeCell ref="D9:E9"/>
    <mergeCell ref="F9:G9"/>
    <mergeCell ref="H9:I9"/>
    <mergeCell ref="J9:K9"/>
    <mergeCell ref="D12:E12"/>
    <mergeCell ref="F10:G10"/>
    <mergeCell ref="H10:I10"/>
    <mergeCell ref="J12:K12"/>
    <mergeCell ref="A14:G14"/>
    <mergeCell ref="C15:D15"/>
    <mergeCell ref="C16:D16"/>
    <mergeCell ref="B11:C11"/>
    <mergeCell ref="I20:J20"/>
    <mergeCell ref="G22:H22"/>
    <mergeCell ref="A15:B15"/>
    <mergeCell ref="K21:L21"/>
    <mergeCell ref="E22:F22"/>
    <mergeCell ref="J11:K11"/>
    <mergeCell ref="H12:I12"/>
    <mergeCell ref="F12:G12"/>
    <mergeCell ref="B21:D21"/>
    <mergeCell ref="G20:H20"/>
    <mergeCell ref="D11:E11"/>
    <mergeCell ref="F11:G11"/>
    <mergeCell ref="H11:I11"/>
    <mergeCell ref="J10:K10"/>
    <mergeCell ref="P61:T61"/>
    <mergeCell ref="A62:T62"/>
    <mergeCell ref="A33:A34"/>
    <mergeCell ref="B28:D28"/>
    <mergeCell ref="A19:A20"/>
    <mergeCell ref="I21:J21"/>
    <mergeCell ref="G28:H28"/>
    <mergeCell ref="E26:F26"/>
    <mergeCell ref="E28:F28"/>
    <mergeCell ref="M24:N24"/>
    <mergeCell ref="I29:J29"/>
    <mergeCell ref="K29:L29"/>
    <mergeCell ref="G21:H21"/>
    <mergeCell ref="B24:D24"/>
    <mergeCell ref="E27:F27"/>
    <mergeCell ref="M19:T19"/>
    <mergeCell ref="E25:F25"/>
    <mergeCell ref="E24:F24"/>
    <mergeCell ref="A16:B16"/>
    <mergeCell ref="B23:D23"/>
    <mergeCell ref="B19:D20"/>
    <mergeCell ref="E19:L19"/>
    <mergeCell ref="E20:F20"/>
  </mergeCells>
  <phoneticPr fontId="0" type="noConversion"/>
  <pageMargins left="0.70866141732283472" right="0.89" top="0.28999999999999998" bottom="0" header="0.54" footer="0.31496062992125984"/>
  <pageSetup paperSize="9" scale="5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5" tint="0.39997558519241921"/>
    <pageSetUpPr fitToPage="1"/>
  </sheetPr>
  <dimension ref="A1:O31"/>
  <sheetViews>
    <sheetView view="pageBreakPreview" topLeftCell="A7" zoomScaleSheetLayoutView="100" workbookViewId="0">
      <selection activeCell="E22" sqref="E22"/>
    </sheetView>
  </sheetViews>
  <sheetFormatPr defaultRowHeight="12.75" x14ac:dyDescent="0.2"/>
  <cols>
    <col min="1" max="1" width="7.140625" style="12" customWidth="1"/>
    <col min="2" max="2" width="19.5703125" style="12" customWidth="1"/>
    <col min="3" max="3" width="18.42578125" style="12" customWidth="1"/>
    <col min="4" max="4" width="20.28515625" style="350" customWidth="1"/>
    <col min="5" max="5" width="21.7109375" style="350" customWidth="1"/>
    <col min="6" max="7" width="23.85546875" style="350" customWidth="1"/>
    <col min="8" max="8" width="24.28515625" style="350" customWidth="1"/>
    <col min="9" max="16384" width="9.140625" style="12"/>
  </cols>
  <sheetData>
    <row r="1" spans="1:15" x14ac:dyDescent="0.2">
      <c r="H1" s="481" t="s">
        <v>649</v>
      </c>
    </row>
    <row r="2" spans="1:15" ht="15.75" x14ac:dyDescent="0.25">
      <c r="A2" s="1131" t="s">
        <v>0</v>
      </c>
      <c r="B2" s="1131"/>
      <c r="C2" s="1131"/>
      <c r="D2" s="1131"/>
      <c r="E2" s="1131"/>
      <c r="F2" s="1131"/>
      <c r="G2" s="1131"/>
      <c r="H2" s="1131"/>
      <c r="I2" s="69"/>
      <c r="J2" s="69"/>
      <c r="K2" s="69"/>
      <c r="L2" s="69"/>
      <c r="M2" s="69"/>
      <c r="N2" s="69"/>
      <c r="O2" s="69"/>
    </row>
    <row r="3" spans="1:15" ht="20.25" x14ac:dyDescent="0.3">
      <c r="A3" s="1131" t="s">
        <v>788</v>
      </c>
      <c r="B3" s="1131"/>
      <c r="C3" s="1131"/>
      <c r="D3" s="1131"/>
      <c r="E3" s="1131"/>
      <c r="F3" s="1131"/>
      <c r="G3" s="1131"/>
      <c r="H3" s="1131"/>
      <c r="I3" s="33"/>
      <c r="J3" s="33"/>
      <c r="K3" s="33"/>
      <c r="L3" s="33"/>
      <c r="M3" s="33"/>
      <c r="N3" s="33"/>
      <c r="O3" s="33"/>
    </row>
    <row r="5" spans="1:15" ht="18" x14ac:dyDescent="0.25">
      <c r="A5" s="1231" t="s">
        <v>648</v>
      </c>
      <c r="B5" s="1231"/>
      <c r="C5" s="1231"/>
      <c r="D5" s="1231"/>
      <c r="E5" s="1231"/>
      <c r="F5" s="1231"/>
      <c r="G5" s="1231"/>
      <c r="H5" s="1231"/>
      <c r="I5" s="69"/>
      <c r="J5" s="69"/>
      <c r="K5" s="69"/>
      <c r="L5" s="69"/>
      <c r="M5" s="69"/>
      <c r="N5" s="69"/>
      <c r="O5" s="69"/>
    </row>
    <row r="6" spans="1:15" s="451" customFormat="1" ht="17.25" x14ac:dyDescent="0.35">
      <c r="A6" s="1240" t="s">
        <v>456</v>
      </c>
      <c r="B6" s="1240"/>
      <c r="C6" s="1240"/>
      <c r="D6" s="482"/>
      <c r="E6" s="482"/>
      <c r="F6" s="1238" t="s">
        <v>795</v>
      </c>
      <c r="G6" s="1238"/>
      <c r="H6" s="1238"/>
      <c r="I6" s="69"/>
      <c r="J6" s="482"/>
      <c r="M6" s="453"/>
      <c r="N6" s="1142"/>
      <c r="O6" s="1142"/>
    </row>
    <row r="7" spans="1:15" s="468" customFormat="1" ht="31.5" customHeight="1" x14ac:dyDescent="0.2">
      <c r="A7" s="1028" t="s">
        <v>2</v>
      </c>
      <c r="B7" s="1028" t="s">
        <v>3</v>
      </c>
      <c r="C7" s="1359" t="s">
        <v>620</v>
      </c>
      <c r="D7" s="1356" t="s">
        <v>619</v>
      </c>
      <c r="E7" s="1357"/>
      <c r="F7" s="1357"/>
      <c r="G7" s="1357"/>
      <c r="H7" s="1358"/>
      <c r="I7" s="430"/>
    </row>
    <row r="8" spans="1:15" s="468" customFormat="1" ht="36.75" customHeight="1" x14ac:dyDescent="0.2">
      <c r="A8" s="1028"/>
      <c r="B8" s="1028"/>
      <c r="C8" s="1359"/>
      <c r="D8" s="483" t="s">
        <v>618</v>
      </c>
      <c r="E8" s="483" t="s">
        <v>617</v>
      </c>
      <c r="F8" s="483" t="s">
        <v>616</v>
      </c>
      <c r="G8" s="483" t="s">
        <v>836</v>
      </c>
      <c r="H8" s="483" t="s">
        <v>47</v>
      </c>
    </row>
    <row r="9" spans="1:15" ht="14.25" x14ac:dyDescent="0.2">
      <c r="A9" s="4">
        <v>1</v>
      </c>
      <c r="B9" s="4">
        <v>2</v>
      </c>
      <c r="C9" s="4">
        <v>3</v>
      </c>
      <c r="D9" s="786">
        <v>4</v>
      </c>
      <c r="E9" s="786">
        <v>5</v>
      </c>
      <c r="F9" s="786">
        <v>6</v>
      </c>
      <c r="G9" s="786">
        <v>7</v>
      </c>
      <c r="H9" s="786">
        <v>8</v>
      </c>
      <c r="I9" s="468"/>
    </row>
    <row r="10" spans="1:15" ht="19.5" customHeight="1" x14ac:dyDescent="0.2">
      <c r="A10" s="188">
        <v>1</v>
      </c>
      <c r="B10" s="219" t="s">
        <v>386</v>
      </c>
      <c r="C10" s="333">
        <v>1797</v>
      </c>
      <c r="D10" s="484">
        <v>1150</v>
      </c>
      <c r="E10" s="220">
        <v>0</v>
      </c>
      <c r="F10" s="220">
        <f>C10-D10</f>
        <v>647</v>
      </c>
      <c r="G10" s="220">
        <v>0</v>
      </c>
      <c r="H10" s="220">
        <v>0</v>
      </c>
      <c r="I10" s="468"/>
    </row>
    <row r="11" spans="1:15" ht="19.5" customHeight="1" x14ac:dyDescent="0.2">
      <c r="A11" s="188">
        <v>2</v>
      </c>
      <c r="B11" s="219" t="s">
        <v>387</v>
      </c>
      <c r="C11" s="333">
        <v>796</v>
      </c>
      <c r="D11" s="484">
        <v>534</v>
      </c>
      <c r="E11" s="220">
        <v>0</v>
      </c>
      <c r="F11" s="220">
        <f t="shared" ref="F11:F22" si="0">C11-D11</f>
        <v>262</v>
      </c>
      <c r="G11" s="220">
        <v>0</v>
      </c>
      <c r="H11" s="220">
        <v>0</v>
      </c>
      <c r="I11" s="468"/>
    </row>
    <row r="12" spans="1:15" ht="19.5" customHeight="1" x14ac:dyDescent="0.2">
      <c r="A12" s="188">
        <v>3</v>
      </c>
      <c r="B12" s="219" t="s">
        <v>388</v>
      </c>
      <c r="C12" s="333">
        <v>1406</v>
      </c>
      <c r="D12" s="484">
        <v>500</v>
      </c>
      <c r="E12" s="220">
        <v>0</v>
      </c>
      <c r="F12" s="220">
        <f t="shared" si="0"/>
        <v>906</v>
      </c>
      <c r="G12" s="220">
        <v>0</v>
      </c>
      <c r="H12" s="220">
        <v>0</v>
      </c>
      <c r="I12" s="468"/>
    </row>
    <row r="13" spans="1:15" ht="19.5" customHeight="1" x14ac:dyDescent="0.2">
      <c r="A13" s="188">
        <v>4</v>
      </c>
      <c r="B13" s="219" t="s">
        <v>389</v>
      </c>
      <c r="C13" s="333">
        <v>688</v>
      </c>
      <c r="D13" s="484">
        <v>314</v>
      </c>
      <c r="E13" s="220">
        <v>0</v>
      </c>
      <c r="F13" s="220">
        <f t="shared" si="0"/>
        <v>374</v>
      </c>
      <c r="G13" s="220">
        <v>0</v>
      </c>
      <c r="H13" s="220">
        <v>0</v>
      </c>
      <c r="I13" s="468"/>
    </row>
    <row r="14" spans="1:15" ht="19.5" customHeight="1" x14ac:dyDescent="0.2">
      <c r="A14" s="188">
        <v>5</v>
      </c>
      <c r="B14" s="221" t="s">
        <v>390</v>
      </c>
      <c r="C14" s="333">
        <v>1443</v>
      </c>
      <c r="D14" s="484">
        <v>870</v>
      </c>
      <c r="E14" s="220">
        <v>0</v>
      </c>
      <c r="F14" s="220">
        <f t="shared" si="0"/>
        <v>573</v>
      </c>
      <c r="G14" s="220">
        <v>0</v>
      </c>
      <c r="H14" s="220">
        <v>0</v>
      </c>
      <c r="I14" s="468"/>
    </row>
    <row r="15" spans="1:15" ht="19.5" customHeight="1" x14ac:dyDescent="0.2">
      <c r="A15" s="188">
        <v>6</v>
      </c>
      <c r="B15" s="219" t="s">
        <v>391</v>
      </c>
      <c r="C15" s="333">
        <v>1082</v>
      </c>
      <c r="D15" s="484">
        <v>712</v>
      </c>
      <c r="E15" s="220">
        <v>7</v>
      </c>
      <c r="F15" s="220">
        <f t="shared" si="0"/>
        <v>370</v>
      </c>
      <c r="G15" s="220">
        <v>0</v>
      </c>
      <c r="H15" s="220">
        <v>0</v>
      </c>
      <c r="I15" s="468"/>
    </row>
    <row r="16" spans="1:15" ht="19.5" customHeight="1" x14ac:dyDescent="0.2">
      <c r="A16" s="188">
        <v>7</v>
      </c>
      <c r="B16" s="221" t="s">
        <v>392</v>
      </c>
      <c r="C16" s="333">
        <v>1406</v>
      </c>
      <c r="D16" s="484">
        <v>516</v>
      </c>
      <c r="E16" s="220">
        <v>0</v>
      </c>
      <c r="F16" s="220">
        <f t="shared" si="0"/>
        <v>890</v>
      </c>
      <c r="G16" s="220">
        <v>0</v>
      </c>
      <c r="H16" s="220">
        <v>0</v>
      </c>
      <c r="I16" s="468"/>
    </row>
    <row r="17" spans="1:9" ht="19.5" customHeight="1" x14ac:dyDescent="0.2">
      <c r="A17" s="188">
        <v>8</v>
      </c>
      <c r="B17" s="219" t="s">
        <v>393</v>
      </c>
      <c r="C17" s="333">
        <v>2146</v>
      </c>
      <c r="D17" s="484">
        <v>1587</v>
      </c>
      <c r="E17" s="220">
        <v>0</v>
      </c>
      <c r="F17" s="220">
        <f t="shared" si="0"/>
        <v>559</v>
      </c>
      <c r="G17" s="220">
        <v>0</v>
      </c>
      <c r="H17" s="220">
        <v>0</v>
      </c>
      <c r="I17" s="468"/>
    </row>
    <row r="18" spans="1:9" ht="19.5" customHeight="1" x14ac:dyDescent="0.2">
      <c r="A18" s="188">
        <v>9</v>
      </c>
      <c r="B18" s="219" t="s">
        <v>394</v>
      </c>
      <c r="C18" s="333">
        <v>1532</v>
      </c>
      <c r="D18" s="484">
        <v>1532</v>
      </c>
      <c r="E18" s="220">
        <v>0</v>
      </c>
      <c r="F18" s="220">
        <f t="shared" si="0"/>
        <v>0</v>
      </c>
      <c r="G18" s="220">
        <v>0</v>
      </c>
      <c r="H18" s="220">
        <v>0</v>
      </c>
      <c r="I18" s="468"/>
    </row>
    <row r="19" spans="1:9" ht="19.5" customHeight="1" x14ac:dyDescent="0.2">
      <c r="A19" s="188">
        <v>10</v>
      </c>
      <c r="B19" s="219" t="s">
        <v>395</v>
      </c>
      <c r="C19" s="333">
        <v>797</v>
      </c>
      <c r="D19" s="484">
        <v>505</v>
      </c>
      <c r="E19" s="220">
        <v>0</v>
      </c>
      <c r="F19" s="220">
        <f t="shared" si="0"/>
        <v>292</v>
      </c>
      <c r="G19" s="220">
        <v>0</v>
      </c>
      <c r="H19" s="220">
        <v>2</v>
      </c>
      <c r="I19" s="468"/>
    </row>
    <row r="20" spans="1:9" ht="19.5" customHeight="1" x14ac:dyDescent="0.2">
      <c r="A20" s="188">
        <v>11</v>
      </c>
      <c r="B20" s="219" t="s">
        <v>396</v>
      </c>
      <c r="C20" s="333">
        <v>1921</v>
      </c>
      <c r="D20" s="484">
        <v>1318</v>
      </c>
      <c r="E20" s="220">
        <v>0</v>
      </c>
      <c r="F20" s="220">
        <f t="shared" si="0"/>
        <v>603</v>
      </c>
      <c r="G20" s="220">
        <v>0</v>
      </c>
      <c r="H20" s="220">
        <v>0</v>
      </c>
      <c r="I20" s="468"/>
    </row>
    <row r="21" spans="1:9" ht="19.5" customHeight="1" x14ac:dyDescent="0.2">
      <c r="A21" s="188">
        <v>12</v>
      </c>
      <c r="B21" s="219" t="s">
        <v>397</v>
      </c>
      <c r="C21" s="333">
        <v>1276</v>
      </c>
      <c r="D21" s="484">
        <v>1216</v>
      </c>
      <c r="E21" s="220">
        <v>0</v>
      </c>
      <c r="F21" s="220">
        <f t="shared" si="0"/>
        <v>60</v>
      </c>
      <c r="G21" s="220">
        <v>0</v>
      </c>
      <c r="H21" s="220">
        <v>0</v>
      </c>
      <c r="I21" s="468"/>
    </row>
    <row r="22" spans="1:9" ht="19.5" customHeight="1" x14ac:dyDescent="0.2">
      <c r="A22" s="188">
        <v>13</v>
      </c>
      <c r="B22" s="219" t="s">
        <v>398</v>
      </c>
      <c r="C22" s="333">
        <v>1054</v>
      </c>
      <c r="D22" s="484">
        <v>578</v>
      </c>
      <c r="E22" s="220">
        <v>0</v>
      </c>
      <c r="F22" s="220">
        <f t="shared" si="0"/>
        <v>476</v>
      </c>
      <c r="G22" s="220">
        <v>0</v>
      </c>
      <c r="H22" s="220">
        <v>0</v>
      </c>
      <c r="I22" s="468"/>
    </row>
    <row r="23" spans="1:9" ht="19.5" customHeight="1" x14ac:dyDescent="0.2">
      <c r="A23" s="227" t="s">
        <v>18</v>
      </c>
      <c r="B23" s="227"/>
      <c r="C23" s="417">
        <f t="shared" ref="C23:H23" si="1">SUM(C10:C22)</f>
        <v>17344</v>
      </c>
      <c r="D23" s="417">
        <f t="shared" si="1"/>
        <v>11332</v>
      </c>
      <c r="E23" s="417">
        <f t="shared" si="1"/>
        <v>7</v>
      </c>
      <c r="F23" s="417">
        <f t="shared" si="1"/>
        <v>6012</v>
      </c>
      <c r="G23" s="417">
        <f t="shared" si="1"/>
        <v>0</v>
      </c>
      <c r="H23" s="417">
        <f t="shared" si="1"/>
        <v>2</v>
      </c>
      <c r="I23" s="468"/>
    </row>
    <row r="24" spans="1:9" ht="19.5" customHeight="1" x14ac:dyDescent="0.2">
      <c r="A24" s="356"/>
      <c r="B24" s="356"/>
      <c r="C24" s="517"/>
      <c r="D24" s="517"/>
      <c r="E24" s="517"/>
      <c r="F24" s="517"/>
      <c r="G24" s="517"/>
      <c r="H24" s="517"/>
      <c r="I24" s="468"/>
    </row>
    <row r="25" spans="1:9" ht="19.5" customHeight="1" x14ac:dyDescent="0.2">
      <c r="A25" s="535"/>
      <c r="B25" s="356"/>
      <c r="C25" s="517"/>
      <c r="D25" s="517"/>
      <c r="E25" s="517"/>
      <c r="F25" s="517"/>
      <c r="G25" s="517"/>
      <c r="H25" s="517"/>
    </row>
    <row r="26" spans="1:9" ht="15" customHeight="1" x14ac:dyDescent="0.2">
      <c r="A26" s="114"/>
      <c r="B26" s="114"/>
      <c r="C26" s="114"/>
      <c r="D26" s="115"/>
      <c r="E26" s="115"/>
      <c r="F26" s="115"/>
      <c r="G26" s="787"/>
      <c r="H26" s="115"/>
    </row>
    <row r="27" spans="1:9" ht="15" customHeight="1" x14ac:dyDescent="0.2">
      <c r="A27" s="114"/>
      <c r="B27" s="114"/>
      <c r="C27" s="114"/>
      <c r="D27" s="515"/>
      <c r="E27" s="115"/>
      <c r="F27" s="115"/>
      <c r="G27" s="787"/>
      <c r="H27" s="115"/>
    </row>
    <row r="28" spans="1:9" ht="15" customHeight="1" x14ac:dyDescent="0.2">
      <c r="A28" s="114"/>
      <c r="B28" s="114"/>
      <c r="C28" s="114"/>
      <c r="D28" s="516"/>
      <c r="E28" s="124"/>
      <c r="F28" s="1274" t="s">
        <v>12</v>
      </c>
      <c r="G28" s="1274"/>
      <c r="H28" s="1274"/>
      <c r="I28" s="124"/>
    </row>
    <row r="29" spans="1:9" ht="12.75" customHeight="1" x14ac:dyDescent="0.2">
      <c r="A29" s="114" t="s">
        <v>11</v>
      </c>
      <c r="C29" s="114"/>
      <c r="D29" s="516"/>
      <c r="E29" s="124"/>
      <c r="F29" s="1274" t="s">
        <v>13</v>
      </c>
      <c r="G29" s="1274"/>
      <c r="H29" s="1274"/>
      <c r="I29" s="124"/>
    </row>
    <row r="30" spans="1:9" ht="12.75" customHeight="1" x14ac:dyDescent="0.2">
      <c r="D30" s="516"/>
      <c r="E30" s="124"/>
      <c r="F30" s="1274" t="s">
        <v>629</v>
      </c>
      <c r="G30" s="1274"/>
      <c r="H30" s="1274"/>
      <c r="I30" s="124"/>
    </row>
    <row r="31" spans="1:9" x14ac:dyDescent="0.2">
      <c r="D31" s="516"/>
      <c r="E31" s="118"/>
      <c r="F31" s="118" t="s">
        <v>628</v>
      </c>
      <c r="G31" s="118"/>
      <c r="H31" s="118"/>
      <c r="I31" s="114"/>
    </row>
  </sheetData>
  <mergeCells count="13">
    <mergeCell ref="F30:H30"/>
    <mergeCell ref="N6:O6"/>
    <mergeCell ref="A7:A8"/>
    <mergeCell ref="B7:B8"/>
    <mergeCell ref="C7:C8"/>
    <mergeCell ref="F6:H6"/>
    <mergeCell ref="F29:H29"/>
    <mergeCell ref="F28:H28"/>
    <mergeCell ref="A2:H2"/>
    <mergeCell ref="A3:H3"/>
    <mergeCell ref="A5:H5"/>
    <mergeCell ref="D7:H7"/>
    <mergeCell ref="A6:C6"/>
  </mergeCells>
  <printOptions horizontalCentered="1"/>
  <pageMargins left="0.25" right="0.41" top="0.39" bottom="0" header="0.16" footer="0.31496062992125984"/>
  <pageSetup paperSize="9" scale="90" orientation="landscape" r:id="rId1"/>
  <colBreaks count="1" manualBreakCount="1">
    <brk id="8"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5" tint="0.39997558519241921"/>
  </sheetPr>
  <dimension ref="A1:P30"/>
  <sheetViews>
    <sheetView view="pageBreakPreview" topLeftCell="A13" zoomScale="118" zoomScaleSheetLayoutView="118" workbookViewId="0">
      <selection activeCell="C22" sqref="C22:N22"/>
    </sheetView>
  </sheetViews>
  <sheetFormatPr defaultRowHeight="12.75" x14ac:dyDescent="0.2"/>
  <cols>
    <col min="1" max="1" width="5.7109375" customWidth="1"/>
    <col min="2" max="2" width="16" customWidth="1"/>
    <col min="3" max="3" width="12.140625" customWidth="1"/>
    <col min="4" max="4" width="10.140625" customWidth="1"/>
    <col min="5" max="5" width="8" customWidth="1"/>
    <col min="6" max="6" width="11.7109375" customWidth="1"/>
    <col min="7" max="7" width="11.28515625" customWidth="1"/>
    <col min="8" max="8" width="9.7109375" customWidth="1"/>
    <col min="9" max="9" width="10.42578125" customWidth="1"/>
    <col min="10" max="10" width="11.42578125" customWidth="1"/>
    <col min="11" max="12" width="10.140625" customWidth="1"/>
    <col min="13" max="13" width="11.140625" customWidth="1"/>
    <col min="14" max="14" width="14.7109375" customWidth="1"/>
  </cols>
  <sheetData>
    <row r="1" spans="1:14" x14ac:dyDescent="0.2">
      <c r="N1" s="131" t="s">
        <v>651</v>
      </c>
    </row>
    <row r="2" spans="1:14" ht="18" x14ac:dyDescent="0.35">
      <c r="A2" s="1310" t="s">
        <v>0</v>
      </c>
      <c r="B2" s="1310"/>
      <c r="C2" s="1310"/>
      <c r="D2" s="1310"/>
      <c r="E2" s="1310"/>
      <c r="F2" s="1310"/>
      <c r="G2" s="1310"/>
      <c r="H2" s="1310"/>
      <c r="I2" s="1310"/>
      <c r="J2" s="1310"/>
      <c r="K2" s="1310"/>
      <c r="L2" s="1310"/>
      <c r="M2" s="1310"/>
      <c r="N2" s="1310"/>
    </row>
    <row r="3" spans="1:14" ht="21" x14ac:dyDescent="0.2">
      <c r="A3" s="1361" t="s">
        <v>788</v>
      </c>
      <c r="B3" s="1361"/>
      <c r="C3" s="1361"/>
      <c r="D3" s="1361"/>
      <c r="E3" s="1361"/>
      <c r="F3" s="1361"/>
      <c r="G3" s="1361"/>
      <c r="H3" s="1361"/>
      <c r="I3" s="1361"/>
      <c r="J3" s="1361"/>
      <c r="K3" s="1361"/>
      <c r="L3" s="1361"/>
      <c r="M3" s="1361"/>
      <c r="N3" s="1361"/>
    </row>
    <row r="4" spans="1:14" ht="9.75" customHeight="1" x14ac:dyDescent="0.3">
      <c r="A4" s="111"/>
      <c r="B4" s="111"/>
      <c r="C4" s="111"/>
      <c r="D4" s="111"/>
      <c r="E4" s="111"/>
      <c r="F4" s="111"/>
      <c r="G4" s="111"/>
      <c r="H4" s="111"/>
      <c r="I4" s="111"/>
      <c r="J4" s="111"/>
    </row>
    <row r="5" spans="1:14" ht="21" x14ac:dyDescent="0.2">
      <c r="A5" s="1360" t="s">
        <v>650</v>
      </c>
      <c r="B5" s="1360"/>
      <c r="C5" s="1360"/>
      <c r="D5" s="1360"/>
      <c r="E5" s="1360"/>
      <c r="F5" s="1360"/>
      <c r="G5" s="1360"/>
      <c r="H5" s="1360"/>
      <c r="I5" s="1360"/>
      <c r="J5" s="1360"/>
      <c r="K5" s="1360"/>
      <c r="L5" s="1360"/>
      <c r="M5" s="1360"/>
      <c r="N5" s="1360"/>
    </row>
    <row r="6" spans="1:14" ht="15" x14ac:dyDescent="0.3">
      <c r="A6" s="112" t="s">
        <v>574</v>
      </c>
      <c r="B6" s="112"/>
      <c r="C6" s="112"/>
      <c r="D6" s="112"/>
      <c r="E6" s="112"/>
      <c r="F6" s="112"/>
      <c r="G6" s="112"/>
      <c r="H6" s="111"/>
      <c r="I6" s="111"/>
      <c r="J6" s="111"/>
      <c r="L6" s="1230" t="s">
        <v>795</v>
      </c>
      <c r="M6" s="1230"/>
      <c r="N6" s="1230"/>
    </row>
    <row r="7" spans="1:14" ht="38.25" customHeight="1" x14ac:dyDescent="0.2">
      <c r="A7" s="1286" t="s">
        <v>2</v>
      </c>
      <c r="B7" s="1286" t="s">
        <v>37</v>
      </c>
      <c r="C7" s="1145" t="s">
        <v>553</v>
      </c>
      <c r="D7" s="1166" t="s">
        <v>554</v>
      </c>
      <c r="E7" s="1166"/>
      <c r="F7" s="1166"/>
      <c r="G7" s="1166"/>
      <c r="H7" s="1167"/>
      <c r="I7" s="1136" t="s">
        <v>654</v>
      </c>
      <c r="J7" s="1136" t="s">
        <v>655</v>
      </c>
      <c r="K7" s="1282" t="s">
        <v>653</v>
      </c>
      <c r="L7" s="1282"/>
      <c r="M7" s="1282"/>
      <c r="N7" s="1282"/>
    </row>
    <row r="8" spans="1:14" ht="27" customHeight="1" x14ac:dyDescent="0.2">
      <c r="A8" s="1287"/>
      <c r="B8" s="1287"/>
      <c r="C8" s="1145"/>
      <c r="D8" s="189" t="s">
        <v>555</v>
      </c>
      <c r="E8" s="189" t="s">
        <v>556</v>
      </c>
      <c r="F8" s="188" t="s">
        <v>557</v>
      </c>
      <c r="G8" s="189" t="s">
        <v>558</v>
      </c>
      <c r="H8" s="189" t="s">
        <v>47</v>
      </c>
      <c r="I8" s="1137"/>
      <c r="J8" s="1137"/>
      <c r="K8" s="226" t="s">
        <v>559</v>
      </c>
      <c r="L8" s="226" t="s">
        <v>652</v>
      </c>
      <c r="M8" s="189" t="s">
        <v>560</v>
      </c>
      <c r="N8" s="190" t="s">
        <v>561</v>
      </c>
    </row>
    <row r="9" spans="1:14" s="532" customFormat="1" ht="18.75" customHeight="1" x14ac:dyDescent="0.2">
      <c r="A9" s="218" t="s">
        <v>287</v>
      </c>
      <c r="B9" s="218" t="s">
        <v>288</v>
      </c>
      <c r="C9" s="218" t="s">
        <v>289</v>
      </c>
      <c r="D9" s="218" t="s">
        <v>290</v>
      </c>
      <c r="E9" s="218" t="s">
        <v>291</v>
      </c>
      <c r="F9" s="218" t="s">
        <v>292</v>
      </c>
      <c r="G9" s="218" t="s">
        <v>293</v>
      </c>
      <c r="H9" s="218" t="s">
        <v>294</v>
      </c>
      <c r="I9" s="218" t="s">
        <v>315</v>
      </c>
      <c r="J9" s="218" t="s">
        <v>316</v>
      </c>
      <c r="K9" s="218" t="s">
        <v>317</v>
      </c>
      <c r="L9" s="218" t="s">
        <v>345</v>
      </c>
      <c r="M9" s="218" t="s">
        <v>346</v>
      </c>
      <c r="N9" s="218" t="s">
        <v>347</v>
      </c>
    </row>
    <row r="10" spans="1:14" ht="18.75" customHeight="1" x14ac:dyDescent="0.2">
      <c r="A10" s="212">
        <v>1</v>
      </c>
      <c r="B10" s="219" t="s">
        <v>386</v>
      </c>
      <c r="C10" s="90">
        <v>1797</v>
      </c>
      <c r="D10" s="212">
        <v>0</v>
      </c>
      <c r="E10" s="212">
        <v>1593</v>
      </c>
      <c r="F10" s="212">
        <v>7</v>
      </c>
      <c r="G10" s="212">
        <v>0</v>
      </c>
      <c r="H10" s="212">
        <f>C10-(E10+F10+G10)</f>
        <v>197</v>
      </c>
      <c r="I10" s="212">
        <v>0</v>
      </c>
      <c r="J10" s="719">
        <v>1797</v>
      </c>
      <c r="K10" s="719">
        <v>1797</v>
      </c>
      <c r="L10" s="719">
        <v>1797</v>
      </c>
      <c r="M10" s="212">
        <v>635</v>
      </c>
      <c r="N10" s="719">
        <v>1797</v>
      </c>
    </row>
    <row r="11" spans="1:14" ht="18.75" customHeight="1" x14ac:dyDescent="0.2">
      <c r="A11" s="212">
        <v>2</v>
      </c>
      <c r="B11" s="219" t="s">
        <v>387</v>
      </c>
      <c r="C11" s="90">
        <v>796</v>
      </c>
      <c r="D11" s="212">
        <v>0</v>
      </c>
      <c r="E11" s="212">
        <v>796</v>
      </c>
      <c r="F11" s="212">
        <v>0</v>
      </c>
      <c r="G11" s="212">
        <v>2</v>
      </c>
      <c r="H11" s="212">
        <v>0</v>
      </c>
      <c r="I11" s="212">
        <v>0</v>
      </c>
      <c r="J11" s="719">
        <v>796</v>
      </c>
      <c r="K11" s="719">
        <v>796</v>
      </c>
      <c r="L11" s="719">
        <v>796</v>
      </c>
      <c r="M11" s="212">
        <v>0</v>
      </c>
      <c r="N11" s="719">
        <v>796</v>
      </c>
    </row>
    <row r="12" spans="1:14" ht="18.75" customHeight="1" x14ac:dyDescent="0.2">
      <c r="A12" s="212">
        <v>3</v>
      </c>
      <c r="B12" s="219" t="s">
        <v>388</v>
      </c>
      <c r="C12" s="90">
        <v>1406</v>
      </c>
      <c r="D12" s="212">
        <v>0</v>
      </c>
      <c r="E12" s="212">
        <v>1406</v>
      </c>
      <c r="F12" s="212">
        <v>0</v>
      </c>
      <c r="G12" s="212">
        <v>0</v>
      </c>
      <c r="H12" s="212">
        <f t="shared" ref="H12:H19" si="0">C12-(E12+F12+G12)</f>
        <v>0</v>
      </c>
      <c r="I12" s="212">
        <v>0</v>
      </c>
      <c r="J12" s="719">
        <v>1406</v>
      </c>
      <c r="K12" s="719">
        <v>1406</v>
      </c>
      <c r="L12" s="719">
        <v>1406</v>
      </c>
      <c r="M12" s="212">
        <v>0</v>
      </c>
      <c r="N12" s="719">
        <v>1406</v>
      </c>
    </row>
    <row r="13" spans="1:14" ht="18.75" customHeight="1" x14ac:dyDescent="0.2">
      <c r="A13" s="212">
        <v>4</v>
      </c>
      <c r="B13" s="219" t="s">
        <v>389</v>
      </c>
      <c r="C13" s="90">
        <v>688</v>
      </c>
      <c r="D13" s="212">
        <v>0</v>
      </c>
      <c r="E13" s="212">
        <v>625</v>
      </c>
      <c r="F13" s="212">
        <v>39</v>
      </c>
      <c r="G13" s="212">
        <v>5</v>
      </c>
      <c r="H13" s="212">
        <f t="shared" si="0"/>
        <v>19</v>
      </c>
      <c r="I13" s="212">
        <v>0</v>
      </c>
      <c r="J13" s="719">
        <v>688</v>
      </c>
      <c r="K13" s="719">
        <v>688</v>
      </c>
      <c r="L13" s="719">
        <v>688</v>
      </c>
      <c r="M13" s="212">
        <v>0</v>
      </c>
      <c r="N13" s="719">
        <v>688</v>
      </c>
    </row>
    <row r="14" spans="1:14" ht="18.75" customHeight="1" x14ac:dyDescent="0.2">
      <c r="A14" s="212">
        <v>5</v>
      </c>
      <c r="B14" s="221" t="s">
        <v>390</v>
      </c>
      <c r="C14" s="90">
        <v>1443</v>
      </c>
      <c r="D14" s="212">
        <v>128</v>
      </c>
      <c r="E14" s="212">
        <v>1391</v>
      </c>
      <c r="F14" s="212">
        <v>8</v>
      </c>
      <c r="G14" s="212">
        <v>0</v>
      </c>
      <c r="H14" s="212">
        <f t="shared" si="0"/>
        <v>44</v>
      </c>
      <c r="I14" s="212">
        <v>0</v>
      </c>
      <c r="J14" s="719">
        <v>1443</v>
      </c>
      <c r="K14" s="719">
        <v>1443</v>
      </c>
      <c r="L14" s="719">
        <v>1443</v>
      </c>
      <c r="M14" s="212">
        <v>0</v>
      </c>
      <c r="N14" s="719">
        <v>1443</v>
      </c>
    </row>
    <row r="15" spans="1:14" ht="18.75" customHeight="1" x14ac:dyDescent="0.2">
      <c r="A15" s="212">
        <v>6</v>
      </c>
      <c r="B15" s="219" t="s">
        <v>391</v>
      </c>
      <c r="C15" s="90">
        <v>1082</v>
      </c>
      <c r="D15" s="212">
        <v>221</v>
      </c>
      <c r="E15" s="212">
        <v>1082</v>
      </c>
      <c r="F15" s="212">
        <v>571</v>
      </c>
      <c r="G15" s="212">
        <v>0</v>
      </c>
      <c r="H15" s="212">
        <v>0</v>
      </c>
      <c r="I15" s="212">
        <v>0</v>
      </c>
      <c r="J15" s="719">
        <v>1082</v>
      </c>
      <c r="K15" s="719">
        <v>1082</v>
      </c>
      <c r="L15" s="719">
        <v>1082</v>
      </c>
      <c r="M15" s="212">
        <v>0</v>
      </c>
      <c r="N15" s="719">
        <v>1082</v>
      </c>
    </row>
    <row r="16" spans="1:14" ht="18.75" customHeight="1" x14ac:dyDescent="0.2">
      <c r="A16" s="212">
        <v>7</v>
      </c>
      <c r="B16" s="221" t="s">
        <v>392</v>
      </c>
      <c r="C16" s="90">
        <v>1406</v>
      </c>
      <c r="D16" s="212">
        <v>0</v>
      </c>
      <c r="E16" s="212">
        <v>1339</v>
      </c>
      <c r="F16" s="212">
        <f>C16-E16</f>
        <v>67</v>
      </c>
      <c r="G16" s="212">
        <v>0</v>
      </c>
      <c r="H16" s="212">
        <f t="shared" si="0"/>
        <v>0</v>
      </c>
      <c r="I16" s="212">
        <v>0</v>
      </c>
      <c r="J16" s="719">
        <v>1406</v>
      </c>
      <c r="K16" s="719">
        <v>1406</v>
      </c>
      <c r="L16" s="719">
        <v>1406</v>
      </c>
      <c r="M16" s="212">
        <v>0</v>
      </c>
      <c r="N16" s="719">
        <v>1406</v>
      </c>
    </row>
    <row r="17" spans="1:16" ht="18.75" customHeight="1" x14ac:dyDescent="0.2">
      <c r="A17" s="212">
        <v>8</v>
      </c>
      <c r="B17" s="219" t="s">
        <v>393</v>
      </c>
      <c r="C17" s="90">
        <v>2146</v>
      </c>
      <c r="D17" s="212">
        <v>15</v>
      </c>
      <c r="E17" s="212">
        <v>2015</v>
      </c>
      <c r="F17" s="212">
        <v>0</v>
      </c>
      <c r="G17" s="212">
        <v>0</v>
      </c>
      <c r="H17" s="212">
        <f t="shared" si="0"/>
        <v>131</v>
      </c>
      <c r="I17" s="212">
        <v>0</v>
      </c>
      <c r="J17" s="719">
        <v>2146</v>
      </c>
      <c r="K17" s="719">
        <v>2146</v>
      </c>
      <c r="L17" s="719">
        <v>2146</v>
      </c>
      <c r="M17" s="212">
        <v>0</v>
      </c>
      <c r="N17" s="719">
        <v>2146</v>
      </c>
    </row>
    <row r="18" spans="1:16" ht="18.75" customHeight="1" x14ac:dyDescent="0.2">
      <c r="A18" s="212">
        <v>9</v>
      </c>
      <c r="B18" s="219" t="s">
        <v>394</v>
      </c>
      <c r="C18" s="90">
        <v>1532</v>
      </c>
      <c r="D18" s="212">
        <v>1</v>
      </c>
      <c r="E18" s="212">
        <v>1532</v>
      </c>
      <c r="F18" s="212">
        <v>10</v>
      </c>
      <c r="G18" s="212">
        <v>3</v>
      </c>
      <c r="H18" s="212">
        <v>0</v>
      </c>
      <c r="I18" s="212">
        <v>0</v>
      </c>
      <c r="J18" s="719">
        <v>1532</v>
      </c>
      <c r="K18" s="719">
        <v>1532</v>
      </c>
      <c r="L18" s="719">
        <v>1532</v>
      </c>
      <c r="M18" s="212">
        <v>0</v>
      </c>
      <c r="N18" s="719">
        <v>1532</v>
      </c>
    </row>
    <row r="19" spans="1:16" ht="18.75" customHeight="1" x14ac:dyDescent="0.2">
      <c r="A19" s="212">
        <v>10</v>
      </c>
      <c r="B19" s="219" t="s">
        <v>395</v>
      </c>
      <c r="C19" s="90">
        <v>797</v>
      </c>
      <c r="D19" s="212">
        <v>0</v>
      </c>
      <c r="E19" s="212">
        <v>782</v>
      </c>
      <c r="F19" s="212">
        <v>0</v>
      </c>
      <c r="G19" s="212">
        <v>0</v>
      </c>
      <c r="H19" s="212">
        <f t="shared" si="0"/>
        <v>15</v>
      </c>
      <c r="I19" s="212">
        <v>0</v>
      </c>
      <c r="J19" s="719">
        <v>797</v>
      </c>
      <c r="K19" s="719">
        <v>797</v>
      </c>
      <c r="L19" s="719">
        <v>797</v>
      </c>
      <c r="M19" s="212">
        <v>0</v>
      </c>
      <c r="N19" s="719">
        <v>797</v>
      </c>
    </row>
    <row r="20" spans="1:16" ht="18.75" customHeight="1" x14ac:dyDescent="0.2">
      <c r="A20" s="212">
        <v>11</v>
      </c>
      <c r="B20" s="219" t="s">
        <v>396</v>
      </c>
      <c r="C20" s="90">
        <v>1921</v>
      </c>
      <c r="D20" s="212">
        <v>12</v>
      </c>
      <c r="E20" s="212">
        <v>1901</v>
      </c>
      <c r="F20" s="212">
        <v>27</v>
      </c>
      <c r="G20" s="212">
        <v>0</v>
      </c>
      <c r="H20" s="212">
        <v>0</v>
      </c>
      <c r="I20" s="212">
        <v>0</v>
      </c>
      <c r="J20" s="719">
        <v>1921</v>
      </c>
      <c r="K20" s="719">
        <v>1921</v>
      </c>
      <c r="L20" s="719">
        <v>1921</v>
      </c>
      <c r="M20" s="212">
        <v>0</v>
      </c>
      <c r="N20" s="719">
        <v>1921</v>
      </c>
    </row>
    <row r="21" spans="1:16" ht="18.75" customHeight="1" x14ac:dyDescent="0.2">
      <c r="A21" s="212">
        <v>12</v>
      </c>
      <c r="B21" s="219" t="s">
        <v>397</v>
      </c>
      <c r="C21" s="90">
        <v>1276</v>
      </c>
      <c r="D21" s="259">
        <v>0</v>
      </c>
      <c r="E21" s="212">
        <v>1261</v>
      </c>
      <c r="F21" s="212">
        <v>1214</v>
      </c>
      <c r="G21" s="212">
        <v>0</v>
      </c>
      <c r="H21" s="212">
        <v>0</v>
      </c>
      <c r="I21" s="212">
        <v>0</v>
      </c>
      <c r="J21" s="719">
        <v>1276</v>
      </c>
      <c r="K21" s="719">
        <v>1276</v>
      </c>
      <c r="L21" s="719">
        <v>1276</v>
      </c>
      <c r="M21" s="212">
        <v>0</v>
      </c>
      <c r="N21" s="719">
        <v>1276</v>
      </c>
    </row>
    <row r="22" spans="1:16" ht="18.75" customHeight="1" x14ac:dyDescent="0.2">
      <c r="A22" s="212">
        <v>13</v>
      </c>
      <c r="B22" s="219" t="s">
        <v>398</v>
      </c>
      <c r="C22" s="90">
        <v>1054</v>
      </c>
      <c r="D22" s="259">
        <v>552</v>
      </c>
      <c r="E22" s="212">
        <v>1054</v>
      </c>
      <c r="F22" s="212">
        <v>25</v>
      </c>
      <c r="G22" s="212">
        <v>86</v>
      </c>
      <c r="H22" s="212">
        <v>0</v>
      </c>
      <c r="I22" s="212">
        <v>0</v>
      </c>
      <c r="J22" s="719">
        <v>1054</v>
      </c>
      <c r="K22" s="719">
        <v>1054</v>
      </c>
      <c r="L22" s="719">
        <v>1054</v>
      </c>
      <c r="M22" s="212">
        <v>0</v>
      </c>
      <c r="N22" s="719">
        <v>1054</v>
      </c>
    </row>
    <row r="23" spans="1:16" ht="18.75" customHeight="1" x14ac:dyDescent="0.2">
      <c r="A23" s="325"/>
      <c r="B23" s="228" t="s">
        <v>18</v>
      </c>
      <c r="C23" s="188">
        <f t="shared" ref="C23:N23" si="1">SUM(C10:C22)</f>
        <v>17344</v>
      </c>
      <c r="D23" s="188">
        <f t="shared" si="1"/>
        <v>929</v>
      </c>
      <c r="E23" s="188">
        <f t="shared" si="1"/>
        <v>16777</v>
      </c>
      <c r="F23" s="188">
        <f t="shared" si="1"/>
        <v>1968</v>
      </c>
      <c r="G23" s="188">
        <f t="shared" si="1"/>
        <v>96</v>
      </c>
      <c r="H23" s="188">
        <f t="shared" si="1"/>
        <v>406</v>
      </c>
      <c r="I23" s="188">
        <f t="shared" si="1"/>
        <v>0</v>
      </c>
      <c r="J23" s="188">
        <f>SUM(J10:J22)</f>
        <v>17344</v>
      </c>
      <c r="K23" s="188">
        <f t="shared" si="1"/>
        <v>17344</v>
      </c>
      <c r="L23" s="188">
        <f t="shared" si="1"/>
        <v>17344</v>
      </c>
      <c r="M23" s="188">
        <f t="shared" si="1"/>
        <v>635</v>
      </c>
      <c r="N23" s="188">
        <f t="shared" si="1"/>
        <v>17344</v>
      </c>
    </row>
    <row r="24" spans="1:16" ht="15" customHeight="1" x14ac:dyDescent="0.2">
      <c r="A24" s="120" t="s">
        <v>719</v>
      </c>
      <c r="B24" s="326"/>
      <c r="C24" s="278"/>
      <c r="D24" s="326"/>
      <c r="E24" s="327"/>
      <c r="F24" s="327"/>
      <c r="G24" s="327"/>
      <c r="H24" s="327"/>
      <c r="I24" s="327"/>
      <c r="J24" s="327"/>
      <c r="K24" s="278"/>
      <c r="L24" s="278"/>
      <c r="M24" s="327"/>
      <c r="N24" s="327"/>
    </row>
    <row r="25" spans="1:16" ht="15" customHeight="1" x14ac:dyDescent="0.2">
      <c r="A25" s="120"/>
      <c r="B25" s="326"/>
      <c r="C25" s="278"/>
      <c r="D25" s="326"/>
      <c r="E25" s="327"/>
      <c r="F25" s="327"/>
      <c r="G25" s="327"/>
      <c r="H25" s="327"/>
      <c r="I25" s="327"/>
      <c r="J25" s="327"/>
      <c r="K25" s="278"/>
      <c r="L25" s="278"/>
      <c r="M25" s="327"/>
      <c r="N25" s="327"/>
    </row>
    <row r="26" spans="1:16" x14ac:dyDescent="0.2">
      <c r="C26" s="114"/>
      <c r="D26" s="114"/>
    </row>
    <row r="27" spans="1:16" x14ac:dyDescent="0.2">
      <c r="M27" s="1274" t="s">
        <v>12</v>
      </c>
      <c r="N27" s="1274"/>
    </row>
    <row r="28" spans="1:16" x14ac:dyDescent="0.2">
      <c r="M28" s="1274" t="s">
        <v>13</v>
      </c>
      <c r="N28" s="1274"/>
    </row>
    <row r="29" spans="1:16" ht="12.75" customHeight="1" x14ac:dyDescent="0.2">
      <c r="K29" s="1274" t="s">
        <v>87</v>
      </c>
      <c r="L29" s="1274"/>
      <c r="M29" s="1274"/>
      <c r="N29" s="1274"/>
      <c r="O29" s="124"/>
      <c r="P29" s="124"/>
    </row>
    <row r="30" spans="1:16" x14ac:dyDescent="0.2">
      <c r="A30" s="114" t="s">
        <v>11</v>
      </c>
      <c r="N30" s="116" t="s">
        <v>84</v>
      </c>
    </row>
  </sheetData>
  <mergeCells count="14">
    <mergeCell ref="A2:N2"/>
    <mergeCell ref="M27:N27"/>
    <mergeCell ref="M28:N28"/>
    <mergeCell ref="K29:N29"/>
    <mergeCell ref="A5:N5"/>
    <mergeCell ref="A3:N3"/>
    <mergeCell ref="A7:A8"/>
    <mergeCell ref="B7:B8"/>
    <mergeCell ref="C7:C8"/>
    <mergeCell ref="D7:H7"/>
    <mergeCell ref="K7:N7"/>
    <mergeCell ref="I7:I8"/>
    <mergeCell ref="J7:J8"/>
    <mergeCell ref="L6:N6"/>
  </mergeCells>
  <printOptions horizontalCentered="1"/>
  <pageMargins left="0.49" right="0.39" top="0.33" bottom="0.48" header="0.23" footer="0.28999999999999998"/>
  <pageSetup paperSize="9" scale="92"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5" tint="0.39997558519241921"/>
    <pageSetUpPr fitToPage="1"/>
  </sheetPr>
  <dimension ref="A1:H18"/>
  <sheetViews>
    <sheetView view="pageBreakPreview" zoomScaleSheetLayoutView="100" workbookViewId="0">
      <selection activeCell="J12" sqref="J12"/>
    </sheetView>
  </sheetViews>
  <sheetFormatPr defaultRowHeight="12.75" x14ac:dyDescent="0.2"/>
  <cols>
    <col min="1" max="1" width="9.140625" style="361" customWidth="1"/>
    <col min="2" max="2" width="27" style="361" customWidth="1"/>
    <col min="3" max="3" width="19.140625" style="361" customWidth="1"/>
    <col min="4" max="5" width="16.140625" style="361" customWidth="1"/>
    <col min="6" max="6" width="18.7109375" style="361" customWidth="1"/>
    <col min="7" max="7" width="17.5703125" style="361" customWidth="1"/>
    <col min="8" max="8" width="13" style="361" customWidth="1"/>
    <col min="9" max="16384" width="9.140625" style="361"/>
  </cols>
  <sheetData>
    <row r="1" spans="1:8" x14ac:dyDescent="0.2">
      <c r="H1" s="380" t="s">
        <v>656</v>
      </c>
    </row>
    <row r="2" spans="1:8" ht="18" x14ac:dyDescent="0.25">
      <c r="A2" s="1365" t="s">
        <v>0</v>
      </c>
      <c r="B2" s="1365"/>
      <c r="C2" s="1365"/>
      <c r="D2" s="1365"/>
      <c r="E2" s="1365"/>
      <c r="F2" s="1365"/>
      <c r="G2" s="1365"/>
      <c r="H2" s="1365"/>
    </row>
    <row r="3" spans="1:8" ht="18" x14ac:dyDescent="0.25">
      <c r="A3" s="1366" t="s">
        <v>788</v>
      </c>
      <c r="B3" s="1366"/>
      <c r="C3" s="1366"/>
      <c r="D3" s="1366"/>
      <c r="E3" s="1366"/>
      <c r="F3" s="1366"/>
      <c r="G3" s="1366"/>
      <c r="H3" s="1366"/>
    </row>
    <row r="4" spans="1:8" ht="13.5" customHeight="1" x14ac:dyDescent="0.25">
      <c r="A4" s="381"/>
      <c r="B4" s="381"/>
      <c r="C4" s="381"/>
      <c r="D4" s="381"/>
      <c r="E4" s="381"/>
      <c r="F4" s="381"/>
      <c r="G4" s="381"/>
      <c r="H4" s="381"/>
    </row>
    <row r="5" spans="1:8" ht="18" x14ac:dyDescent="0.25">
      <c r="A5" s="1367" t="s">
        <v>715</v>
      </c>
      <c r="B5" s="1367"/>
      <c r="C5" s="1367"/>
      <c r="D5" s="1367"/>
      <c r="E5" s="1367"/>
      <c r="F5" s="1367"/>
      <c r="G5" s="1367"/>
      <c r="H5" s="1367"/>
    </row>
    <row r="6" spans="1:8" ht="15" x14ac:dyDescent="0.3">
      <c r="A6" s="382" t="s">
        <v>595</v>
      </c>
      <c r="B6" s="382"/>
      <c r="C6" s="382"/>
      <c r="D6" s="382"/>
      <c r="E6" s="382"/>
      <c r="F6" s="382"/>
      <c r="G6" s="382" t="s">
        <v>795</v>
      </c>
    </row>
    <row r="7" spans="1:8" ht="21.75" customHeight="1" x14ac:dyDescent="0.2">
      <c r="A7" s="1363" t="s">
        <v>2</v>
      </c>
      <c r="B7" s="1363" t="s">
        <v>596</v>
      </c>
      <c r="C7" s="1265" t="s">
        <v>37</v>
      </c>
      <c r="D7" s="1265" t="s">
        <v>597</v>
      </c>
      <c r="E7" s="1265"/>
      <c r="F7" s="1368" t="s">
        <v>598</v>
      </c>
      <c r="G7" s="1368"/>
      <c r="H7" s="1363" t="s">
        <v>246</v>
      </c>
    </row>
    <row r="8" spans="1:8" ht="25.5" customHeight="1" x14ac:dyDescent="0.2">
      <c r="A8" s="1364"/>
      <c r="B8" s="1364"/>
      <c r="C8" s="1265"/>
      <c r="D8" s="370" t="s">
        <v>599</v>
      </c>
      <c r="E8" s="370" t="s">
        <v>600</v>
      </c>
      <c r="F8" s="383" t="s">
        <v>601</v>
      </c>
      <c r="G8" s="370" t="s">
        <v>602</v>
      </c>
      <c r="H8" s="1364"/>
    </row>
    <row r="9" spans="1:8" ht="15" x14ac:dyDescent="0.2">
      <c r="A9" s="384" t="s">
        <v>287</v>
      </c>
      <c r="B9" s="384" t="s">
        <v>288</v>
      </c>
      <c r="C9" s="384" t="s">
        <v>289</v>
      </c>
      <c r="D9" s="384" t="s">
        <v>290</v>
      </c>
      <c r="E9" s="384" t="s">
        <v>291</v>
      </c>
      <c r="F9" s="384" t="s">
        <v>292</v>
      </c>
      <c r="G9" s="384" t="s">
        <v>293</v>
      </c>
      <c r="H9" s="384">
        <v>8</v>
      </c>
    </row>
    <row r="10" spans="1:8" ht="46.5" customHeight="1" x14ac:dyDescent="0.2">
      <c r="A10" s="726">
        <v>1</v>
      </c>
      <c r="B10" s="1369" t="s">
        <v>691</v>
      </c>
      <c r="C10" s="563" t="s">
        <v>388</v>
      </c>
      <c r="D10" s="564">
        <v>15</v>
      </c>
      <c r="E10" s="564">
        <v>15</v>
      </c>
      <c r="F10" s="1371" t="s">
        <v>1132</v>
      </c>
      <c r="G10" s="1372"/>
      <c r="H10" s="1373"/>
    </row>
    <row r="11" spans="1:8" ht="46.5" customHeight="1" x14ac:dyDescent="0.2">
      <c r="A11" s="726">
        <v>2</v>
      </c>
      <c r="B11" s="1370"/>
      <c r="C11" s="563" t="s">
        <v>395</v>
      </c>
      <c r="D11" s="564">
        <v>15</v>
      </c>
      <c r="E11" s="564">
        <v>15</v>
      </c>
      <c r="F11" s="1374"/>
      <c r="G11" s="1375"/>
      <c r="H11" s="1376"/>
    </row>
    <row r="12" spans="1:8" ht="24" customHeight="1" x14ac:dyDescent="0.2">
      <c r="A12" s="565" t="s">
        <v>18</v>
      </c>
      <c r="B12" s="368" t="s">
        <v>603</v>
      </c>
      <c r="C12" s="385"/>
      <c r="D12" s="565">
        <f>SUM(D10:D11)</f>
        <v>30</v>
      </c>
      <c r="E12" s="565">
        <f>SUM(E10:E11)</f>
        <v>30</v>
      </c>
      <c r="F12" s="565"/>
      <c r="G12" s="565"/>
      <c r="H12" s="385"/>
    </row>
    <row r="15" spans="1:8" ht="12.75" customHeight="1" x14ac:dyDescent="0.2">
      <c r="A15" s="114"/>
      <c r="B15" s="114"/>
      <c r="C15" s="114"/>
      <c r="D15" s="114"/>
      <c r="F15" s="1276" t="s">
        <v>12</v>
      </c>
      <c r="G15" s="1276"/>
      <c r="H15" s="1276"/>
    </row>
    <row r="16" spans="1:8" ht="12.75" customHeight="1" x14ac:dyDescent="0.2">
      <c r="A16" s="114"/>
      <c r="B16" s="114"/>
      <c r="C16" s="114"/>
      <c r="D16" s="114"/>
      <c r="F16" s="1362" t="s">
        <v>13</v>
      </c>
      <c r="G16" s="1362"/>
      <c r="H16" s="1362"/>
    </row>
    <row r="17" spans="1:8" ht="12.75" customHeight="1" x14ac:dyDescent="0.2">
      <c r="A17" s="114" t="s">
        <v>604</v>
      </c>
      <c r="B17" s="114"/>
      <c r="C17" s="114"/>
      <c r="D17" s="114"/>
      <c r="F17" s="1362" t="s">
        <v>87</v>
      </c>
      <c r="G17" s="1362"/>
      <c r="H17" s="1362"/>
    </row>
    <row r="18" spans="1:8" x14ac:dyDescent="0.2">
      <c r="C18" s="114"/>
      <c r="D18" s="114"/>
      <c r="G18" s="116" t="s">
        <v>84</v>
      </c>
    </row>
  </sheetData>
  <mergeCells count="14">
    <mergeCell ref="F17:H17"/>
    <mergeCell ref="H7:H8"/>
    <mergeCell ref="F15:H15"/>
    <mergeCell ref="F16:H16"/>
    <mergeCell ref="A2:H2"/>
    <mergeCell ref="A3:H3"/>
    <mergeCell ref="A5:H5"/>
    <mergeCell ref="A7:A8"/>
    <mergeCell ref="B7:B8"/>
    <mergeCell ref="C7:C8"/>
    <mergeCell ref="D7:E7"/>
    <mergeCell ref="F7:G7"/>
    <mergeCell ref="B10:B11"/>
    <mergeCell ref="F10:H11"/>
  </mergeCells>
  <printOptions horizontalCentered="1"/>
  <pageMargins left="0.59" right="0.61" top="0.23622047244094491" bottom="0" header="0.31496062992125984" footer="0.31496062992125984"/>
  <pageSetup paperSize="9" scale="9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5" tint="0.39997558519241921"/>
  </sheetPr>
  <dimension ref="A1:L30"/>
  <sheetViews>
    <sheetView view="pageBreakPreview" topLeftCell="A16" zoomScale="112" zoomScaleSheetLayoutView="112" workbookViewId="0">
      <selection activeCell="C20" sqref="C20:G20"/>
    </sheetView>
  </sheetViews>
  <sheetFormatPr defaultRowHeight="21.75" customHeight="1" x14ac:dyDescent="0.2"/>
  <cols>
    <col min="1" max="1" width="7.28515625" customWidth="1"/>
    <col min="2" max="2" width="14.85546875" customWidth="1"/>
    <col min="3" max="4" width="11.85546875" customWidth="1"/>
    <col min="5" max="5" width="12.42578125" customWidth="1"/>
    <col min="6" max="6" width="11.42578125" customWidth="1"/>
    <col min="7" max="7" width="11.7109375" customWidth="1"/>
    <col min="8" max="8" width="12.7109375" customWidth="1"/>
    <col min="9" max="9" width="12.140625" customWidth="1"/>
    <col min="10" max="10" width="10.28515625" customWidth="1"/>
    <col min="11" max="11" width="12" customWidth="1"/>
    <col min="12" max="12" width="11.42578125" customWidth="1"/>
  </cols>
  <sheetData>
    <row r="1" spans="1:12" ht="21.75" customHeight="1" x14ac:dyDescent="0.35">
      <c r="A1" s="1377" t="s">
        <v>0</v>
      </c>
      <c r="B1" s="1377"/>
      <c r="C1" s="1377"/>
      <c r="D1" s="1377"/>
      <c r="E1" s="1377"/>
      <c r="F1" s="1377"/>
      <c r="G1" s="1377"/>
      <c r="H1" s="1377"/>
      <c r="I1" s="1377"/>
      <c r="J1" s="1377"/>
      <c r="K1" s="1377"/>
      <c r="L1" s="131" t="s">
        <v>657</v>
      </c>
    </row>
    <row r="2" spans="1:12" ht="21.75" customHeight="1" x14ac:dyDescent="0.35">
      <c r="A2" s="1377" t="s">
        <v>788</v>
      </c>
      <c r="B2" s="1377"/>
      <c r="C2" s="1377"/>
      <c r="D2" s="1377"/>
      <c r="E2" s="1377"/>
      <c r="F2" s="1377"/>
      <c r="G2" s="1377"/>
      <c r="H2" s="1377"/>
      <c r="I2" s="1377"/>
      <c r="J2" s="1377"/>
      <c r="K2" s="1377"/>
    </row>
    <row r="3" spans="1:12" ht="5.25" customHeight="1" x14ac:dyDescent="0.3">
      <c r="A3" s="111"/>
      <c r="B3" s="111"/>
      <c r="C3" s="111"/>
      <c r="D3" s="111"/>
      <c r="E3" s="111"/>
      <c r="F3" s="111"/>
      <c r="G3" s="111"/>
      <c r="H3" s="111"/>
      <c r="I3" s="111"/>
      <c r="J3" s="111"/>
      <c r="K3" s="111"/>
    </row>
    <row r="4" spans="1:12" ht="19.5" customHeight="1" x14ac:dyDescent="0.2">
      <c r="A4" s="1378" t="s">
        <v>658</v>
      </c>
      <c r="B4" s="1378"/>
      <c r="C4" s="1378"/>
      <c r="D4" s="1378"/>
      <c r="E4" s="1378"/>
      <c r="F4" s="1378"/>
      <c r="G4" s="1378"/>
      <c r="H4" s="1378"/>
      <c r="I4" s="1378"/>
      <c r="J4" s="1378"/>
      <c r="K4" s="1378"/>
      <c r="L4" s="1378"/>
    </row>
    <row r="5" spans="1:12" ht="21.75" customHeight="1" x14ac:dyDescent="0.3">
      <c r="A5" s="112" t="s">
        <v>574</v>
      </c>
      <c r="B5" s="112"/>
      <c r="C5" s="112"/>
      <c r="D5" s="112"/>
      <c r="E5" s="112"/>
      <c r="F5" s="112"/>
      <c r="G5" s="112"/>
      <c r="H5" s="112"/>
      <c r="I5" s="112"/>
      <c r="J5" s="382" t="s">
        <v>795</v>
      </c>
      <c r="K5" s="112"/>
      <c r="L5" s="12"/>
    </row>
    <row r="6" spans="1:12" ht="27.75" customHeight="1" x14ac:dyDescent="0.2">
      <c r="A6" s="1286" t="s">
        <v>2</v>
      </c>
      <c r="B6" s="1286" t="s">
        <v>37</v>
      </c>
      <c r="C6" s="1165" t="s">
        <v>562</v>
      </c>
      <c r="D6" s="1166"/>
      <c r="E6" s="1167"/>
      <c r="F6" s="1165" t="s">
        <v>563</v>
      </c>
      <c r="G6" s="1166"/>
      <c r="H6" s="1166"/>
      <c r="I6" s="1167"/>
      <c r="J6" s="1145" t="s">
        <v>564</v>
      </c>
      <c r="K6" s="1145"/>
      <c r="L6" s="1145"/>
    </row>
    <row r="7" spans="1:12" ht="48.75" customHeight="1" x14ac:dyDescent="0.2">
      <c r="A7" s="1287"/>
      <c r="B7" s="1287"/>
      <c r="C7" s="226" t="s">
        <v>237</v>
      </c>
      <c r="D7" s="226" t="s">
        <v>565</v>
      </c>
      <c r="E7" s="226" t="s">
        <v>566</v>
      </c>
      <c r="F7" s="226" t="s">
        <v>237</v>
      </c>
      <c r="G7" s="226" t="s">
        <v>567</v>
      </c>
      <c r="H7" s="226" t="s">
        <v>568</v>
      </c>
      <c r="I7" s="226" t="s">
        <v>566</v>
      </c>
      <c r="J7" s="189" t="s">
        <v>569</v>
      </c>
      <c r="K7" s="189" t="s">
        <v>570</v>
      </c>
      <c r="L7" s="226" t="s">
        <v>566</v>
      </c>
    </row>
    <row r="8" spans="1:12" ht="16.5" customHeight="1" x14ac:dyDescent="0.2">
      <c r="A8" s="299" t="s">
        <v>287</v>
      </c>
      <c r="B8" s="299" t="s">
        <v>288</v>
      </c>
      <c r="C8" s="299" t="s">
        <v>289</v>
      </c>
      <c r="D8" s="299" t="s">
        <v>290</v>
      </c>
      <c r="E8" s="299" t="s">
        <v>291</v>
      </c>
      <c r="F8" s="299" t="s">
        <v>292</v>
      </c>
      <c r="G8" s="299" t="s">
        <v>293</v>
      </c>
      <c r="H8" s="299" t="s">
        <v>294</v>
      </c>
      <c r="I8" s="299" t="s">
        <v>315</v>
      </c>
      <c r="J8" s="299" t="s">
        <v>316</v>
      </c>
      <c r="K8" s="299" t="s">
        <v>317</v>
      </c>
      <c r="L8" s="299" t="s">
        <v>345</v>
      </c>
    </row>
    <row r="9" spans="1:12" ht="18" customHeight="1" x14ac:dyDescent="0.2">
      <c r="A9" s="212">
        <v>1</v>
      </c>
      <c r="B9" s="219" t="s">
        <v>386</v>
      </c>
      <c r="C9" s="212">
        <v>221</v>
      </c>
      <c r="D9" s="212">
        <v>5809</v>
      </c>
      <c r="E9" s="212">
        <v>387325</v>
      </c>
      <c r="F9" s="212">
        <v>6</v>
      </c>
      <c r="G9" s="212">
        <v>27</v>
      </c>
      <c r="H9" s="1258" t="s">
        <v>782</v>
      </c>
      <c r="I9" s="212">
        <v>500</v>
      </c>
      <c r="J9" s="90">
        <v>0</v>
      </c>
      <c r="K9" s="90">
        <v>1</v>
      </c>
      <c r="L9" s="90">
        <v>0</v>
      </c>
    </row>
    <row r="10" spans="1:12" ht="18" customHeight="1" x14ac:dyDescent="0.2">
      <c r="A10" s="212">
        <v>2</v>
      </c>
      <c r="B10" s="219" t="s">
        <v>387</v>
      </c>
      <c r="C10" s="212">
        <v>139</v>
      </c>
      <c r="D10" s="212">
        <v>3962</v>
      </c>
      <c r="E10" s="212">
        <v>117280</v>
      </c>
      <c r="F10" s="212">
        <v>2</v>
      </c>
      <c r="G10" s="212">
        <v>44</v>
      </c>
      <c r="H10" s="1259"/>
      <c r="I10" s="212">
        <v>745</v>
      </c>
      <c r="J10" s="212">
        <v>0</v>
      </c>
      <c r="K10" s="212">
        <v>0</v>
      </c>
      <c r="L10" s="212">
        <v>0</v>
      </c>
    </row>
    <row r="11" spans="1:12" ht="18" customHeight="1" x14ac:dyDescent="0.2">
      <c r="A11" s="212">
        <v>3</v>
      </c>
      <c r="B11" s="219" t="s">
        <v>388</v>
      </c>
      <c r="C11" s="212">
        <v>12</v>
      </c>
      <c r="D11" s="212">
        <v>518</v>
      </c>
      <c r="E11" s="212">
        <v>24000</v>
      </c>
      <c r="F11" s="212">
        <v>2</v>
      </c>
      <c r="G11" s="212">
        <v>41</v>
      </c>
      <c r="H11" s="1259"/>
      <c r="I11" s="212">
        <v>1000</v>
      </c>
      <c r="J11" s="212">
        <v>0</v>
      </c>
      <c r="K11" s="212">
        <v>1</v>
      </c>
      <c r="L11" s="212">
        <v>0</v>
      </c>
    </row>
    <row r="12" spans="1:12" ht="18" customHeight="1" x14ac:dyDescent="0.2">
      <c r="A12" s="212">
        <v>4</v>
      </c>
      <c r="B12" s="219" t="s">
        <v>389</v>
      </c>
      <c r="C12" s="212">
        <v>78</v>
      </c>
      <c r="D12" s="212">
        <v>3196</v>
      </c>
      <c r="E12" s="212">
        <v>64760</v>
      </c>
      <c r="F12" s="212">
        <v>3</v>
      </c>
      <c r="G12" s="212">
        <v>104</v>
      </c>
      <c r="H12" s="1259"/>
      <c r="I12" s="212">
        <v>2080</v>
      </c>
      <c r="J12" s="212">
        <v>0</v>
      </c>
      <c r="K12" s="212">
        <v>0</v>
      </c>
      <c r="L12" s="212">
        <v>0</v>
      </c>
    </row>
    <row r="13" spans="1:12" ht="18" customHeight="1" x14ac:dyDescent="0.2">
      <c r="A13" s="212">
        <v>5</v>
      </c>
      <c r="B13" s="221" t="s">
        <v>390</v>
      </c>
      <c r="C13" s="212">
        <v>49</v>
      </c>
      <c r="D13" s="212">
        <v>2510</v>
      </c>
      <c r="E13" s="212">
        <v>46499</v>
      </c>
      <c r="F13" s="212">
        <v>0</v>
      </c>
      <c r="G13" s="212">
        <v>0</v>
      </c>
      <c r="H13" s="1259"/>
      <c r="I13" s="212">
        <v>0</v>
      </c>
      <c r="J13" s="212">
        <v>0</v>
      </c>
      <c r="K13" s="212">
        <v>2</v>
      </c>
      <c r="L13" s="90">
        <v>15000</v>
      </c>
    </row>
    <row r="14" spans="1:12" ht="27" customHeight="1" x14ac:dyDescent="0.2">
      <c r="A14" s="212">
        <v>6</v>
      </c>
      <c r="B14" s="219" t="s">
        <v>391</v>
      </c>
      <c r="C14" s="212">
        <v>20</v>
      </c>
      <c r="D14" s="212">
        <v>1663</v>
      </c>
      <c r="E14" s="212">
        <v>15969</v>
      </c>
      <c r="F14" s="212">
        <v>2</v>
      </c>
      <c r="G14" s="212">
        <v>60</v>
      </c>
      <c r="H14" s="1259"/>
      <c r="I14" s="212">
        <v>536</v>
      </c>
      <c r="J14" s="212">
        <v>0</v>
      </c>
      <c r="K14" s="212">
        <v>1</v>
      </c>
      <c r="L14" s="212">
        <v>0</v>
      </c>
    </row>
    <row r="15" spans="1:12" ht="18" customHeight="1" x14ac:dyDescent="0.2">
      <c r="A15" s="212">
        <v>7</v>
      </c>
      <c r="B15" s="221" t="s">
        <v>392</v>
      </c>
      <c r="C15" s="212">
        <v>16</v>
      </c>
      <c r="D15" s="212">
        <v>1011</v>
      </c>
      <c r="E15" s="212">
        <v>46730</v>
      </c>
      <c r="F15" s="212">
        <v>1</v>
      </c>
      <c r="G15" s="212">
        <v>44</v>
      </c>
      <c r="H15" s="1259"/>
      <c r="I15" s="212">
        <v>220</v>
      </c>
      <c r="J15" s="212">
        <v>0</v>
      </c>
      <c r="K15" s="212">
        <v>1</v>
      </c>
      <c r="L15" s="212">
        <v>0</v>
      </c>
    </row>
    <row r="16" spans="1:12" ht="25.5" customHeight="1" x14ac:dyDescent="0.2">
      <c r="A16" s="212">
        <v>8</v>
      </c>
      <c r="B16" s="219" t="s">
        <v>393</v>
      </c>
      <c r="C16" s="212">
        <v>79</v>
      </c>
      <c r="D16" s="212">
        <v>1712</v>
      </c>
      <c r="E16" s="212">
        <v>58861</v>
      </c>
      <c r="F16" s="212">
        <v>3</v>
      </c>
      <c r="G16" s="212">
        <v>101</v>
      </c>
      <c r="H16" s="1259"/>
      <c r="I16" s="212">
        <v>950</v>
      </c>
      <c r="J16" s="212">
        <v>0</v>
      </c>
      <c r="K16" s="212">
        <v>0</v>
      </c>
      <c r="L16" s="212">
        <v>0</v>
      </c>
    </row>
    <row r="17" spans="1:12" ht="28.5" customHeight="1" x14ac:dyDescent="0.2">
      <c r="A17" s="212">
        <v>9</v>
      </c>
      <c r="B17" s="219" t="s">
        <v>394</v>
      </c>
      <c r="C17" s="212">
        <v>18</v>
      </c>
      <c r="D17" s="212">
        <v>663</v>
      </c>
      <c r="E17" s="212">
        <v>33150</v>
      </c>
      <c r="F17" s="212">
        <v>1</v>
      </c>
      <c r="G17" s="212">
        <v>0</v>
      </c>
      <c r="H17" s="1259"/>
      <c r="I17" s="212">
        <v>0</v>
      </c>
      <c r="J17" s="212">
        <v>0</v>
      </c>
      <c r="K17" s="212">
        <v>0</v>
      </c>
      <c r="L17" s="212">
        <v>0</v>
      </c>
    </row>
    <row r="18" spans="1:12" ht="18" customHeight="1" x14ac:dyDescent="0.2">
      <c r="A18" s="212">
        <v>10</v>
      </c>
      <c r="B18" s="219" t="s">
        <v>395</v>
      </c>
      <c r="C18" s="212">
        <v>50</v>
      </c>
      <c r="D18" s="212">
        <v>2031</v>
      </c>
      <c r="E18" s="212">
        <v>30630</v>
      </c>
      <c r="F18" s="212">
        <v>3</v>
      </c>
      <c r="G18" s="212">
        <v>78</v>
      </c>
      <c r="H18" s="1259"/>
      <c r="I18" s="212">
        <v>750</v>
      </c>
      <c r="J18" s="212">
        <v>0</v>
      </c>
      <c r="K18" s="212">
        <v>0</v>
      </c>
      <c r="L18" s="212">
        <v>0</v>
      </c>
    </row>
    <row r="19" spans="1:12" ht="18" customHeight="1" x14ac:dyDescent="0.2">
      <c r="A19" s="212">
        <v>11</v>
      </c>
      <c r="B19" s="219" t="s">
        <v>396</v>
      </c>
      <c r="C19" s="212">
        <v>24</v>
      </c>
      <c r="D19" s="212">
        <v>395</v>
      </c>
      <c r="E19" s="212">
        <v>2848</v>
      </c>
      <c r="F19" s="212">
        <v>79</v>
      </c>
      <c r="G19" s="212">
        <v>1566</v>
      </c>
      <c r="H19" s="1259"/>
      <c r="I19" s="212">
        <v>31320</v>
      </c>
      <c r="J19" s="212">
        <v>0</v>
      </c>
      <c r="K19" s="212">
        <v>0</v>
      </c>
      <c r="L19" s="212">
        <v>0</v>
      </c>
    </row>
    <row r="20" spans="1:12" ht="18" customHeight="1" x14ac:dyDescent="0.2">
      <c r="A20" s="212">
        <v>12</v>
      </c>
      <c r="B20" s="219" t="s">
        <v>397</v>
      </c>
      <c r="C20" s="259">
        <v>85</v>
      </c>
      <c r="D20" s="259">
        <v>6585</v>
      </c>
      <c r="E20" s="259">
        <v>126932</v>
      </c>
      <c r="F20" s="212">
        <v>4</v>
      </c>
      <c r="G20" s="212">
        <v>650</v>
      </c>
      <c r="H20" s="1259"/>
      <c r="I20" s="212">
        <v>1775</v>
      </c>
      <c r="J20" s="212">
        <v>0</v>
      </c>
      <c r="K20" s="212">
        <v>0</v>
      </c>
      <c r="L20" s="212">
        <v>0</v>
      </c>
    </row>
    <row r="21" spans="1:12" ht="18" customHeight="1" x14ac:dyDescent="0.2">
      <c r="A21" s="212">
        <v>13</v>
      </c>
      <c r="B21" s="219" t="s">
        <v>398</v>
      </c>
      <c r="C21" s="259">
        <v>12</v>
      </c>
      <c r="D21" s="259">
        <v>539</v>
      </c>
      <c r="E21" s="259">
        <v>11640</v>
      </c>
      <c r="F21" s="212">
        <v>0</v>
      </c>
      <c r="G21" s="212">
        <v>0</v>
      </c>
      <c r="H21" s="1260"/>
      <c r="I21" s="212">
        <v>0</v>
      </c>
      <c r="J21" s="212">
        <v>0</v>
      </c>
      <c r="K21" s="212">
        <v>1</v>
      </c>
      <c r="L21" s="212">
        <v>3000</v>
      </c>
    </row>
    <row r="22" spans="1:12" ht="18" customHeight="1" x14ac:dyDescent="0.2">
      <c r="A22" s="325"/>
      <c r="B22" s="228" t="s">
        <v>18</v>
      </c>
      <c r="C22" s="228">
        <f>SUM(C9:C21)</f>
        <v>803</v>
      </c>
      <c r="D22" s="228">
        <f t="shared" ref="D22:L22" si="0">SUM(D9:D21)</f>
        <v>30594</v>
      </c>
      <c r="E22" s="228">
        <f t="shared" si="0"/>
        <v>966624</v>
      </c>
      <c r="F22" s="228">
        <f t="shared" si="0"/>
        <v>106</v>
      </c>
      <c r="G22" s="228">
        <f t="shared" si="0"/>
        <v>2715</v>
      </c>
      <c r="H22" s="228">
        <f>SUM(H9:H21)</f>
        <v>0</v>
      </c>
      <c r="I22" s="228">
        <f>SUM(I9:I21)</f>
        <v>39876</v>
      </c>
      <c r="J22" s="228">
        <f t="shared" si="0"/>
        <v>0</v>
      </c>
      <c r="K22" s="228">
        <f t="shared" si="0"/>
        <v>7</v>
      </c>
      <c r="L22" s="228">
        <f t="shared" si="0"/>
        <v>18000</v>
      </c>
    </row>
    <row r="23" spans="1:12" ht="14.25" customHeight="1" x14ac:dyDescent="0.2">
      <c r="A23" s="843"/>
      <c r="B23" s="843"/>
      <c r="C23" s="843"/>
      <c r="D23" s="843"/>
      <c r="E23" s="843"/>
      <c r="F23" s="843"/>
      <c r="G23" s="843"/>
      <c r="H23" s="843"/>
      <c r="I23" s="843"/>
      <c r="J23" s="843"/>
      <c r="K23" s="843"/>
      <c r="L23" s="843"/>
    </row>
    <row r="24" spans="1:12" ht="14.25" customHeight="1" x14ac:dyDescent="0.2">
      <c r="A24" s="844"/>
      <c r="B24" s="844"/>
      <c r="C24" s="844"/>
      <c r="D24" s="844"/>
      <c r="E24" s="844"/>
      <c r="F24" s="844"/>
      <c r="G24" s="844"/>
      <c r="H24" s="844"/>
      <c r="I24" s="844"/>
      <c r="J24" s="844"/>
      <c r="K24" s="844"/>
      <c r="L24" s="844"/>
    </row>
    <row r="25" spans="1:12" ht="3.75" customHeight="1" x14ac:dyDescent="0.2">
      <c r="F25" s="114"/>
    </row>
    <row r="26" spans="1:12" ht="10.5" customHeight="1" x14ac:dyDescent="0.2">
      <c r="D26" s="761"/>
      <c r="E26" s="761"/>
      <c r="F26" s="761"/>
    </row>
    <row r="27" spans="1:12" ht="12.75" x14ac:dyDescent="0.2">
      <c r="D27" s="761"/>
      <c r="E27" s="761"/>
      <c r="F27" s="761"/>
      <c r="J27" s="1274" t="s">
        <v>12</v>
      </c>
      <c r="K27" s="1274"/>
      <c r="L27" s="1274"/>
    </row>
    <row r="28" spans="1:12" ht="12.75" x14ac:dyDescent="0.2">
      <c r="A28" s="114" t="s">
        <v>11</v>
      </c>
      <c r="J28" s="1274" t="s">
        <v>13</v>
      </c>
      <c r="K28" s="1274"/>
      <c r="L28" s="1274"/>
    </row>
    <row r="29" spans="1:12" ht="12.75" x14ac:dyDescent="0.2">
      <c r="I29" s="1274" t="s">
        <v>87</v>
      </c>
      <c r="J29" s="1274"/>
      <c r="K29" s="1274"/>
      <c r="L29" s="1274"/>
    </row>
    <row r="30" spans="1:12" ht="12.75" x14ac:dyDescent="0.2">
      <c r="K30" s="116" t="s">
        <v>84</v>
      </c>
    </row>
  </sheetData>
  <mergeCells count="12">
    <mergeCell ref="J27:L27"/>
    <mergeCell ref="J28:L28"/>
    <mergeCell ref="I29:L29"/>
    <mergeCell ref="A1:K1"/>
    <mergeCell ref="A2:K2"/>
    <mergeCell ref="A6:A7"/>
    <mergeCell ref="B6:B7"/>
    <mergeCell ref="C6:E6"/>
    <mergeCell ref="F6:I6"/>
    <mergeCell ref="J6:L6"/>
    <mergeCell ref="A4:L4"/>
    <mergeCell ref="H9:H21"/>
  </mergeCells>
  <printOptions horizontalCentered="1"/>
  <pageMargins left="0.28999999999999998" right="0.27" top="0.33" bottom="0.26" header="0.25" footer="0.2"/>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5" tint="0.39997558519241921"/>
    <pageSetUpPr fitToPage="1"/>
  </sheetPr>
  <dimension ref="A1:M29"/>
  <sheetViews>
    <sheetView view="pageBreakPreview" topLeftCell="A4" zoomScaleSheetLayoutView="100" workbookViewId="0">
      <selection activeCell="G27" sqref="G27:K27"/>
    </sheetView>
  </sheetViews>
  <sheetFormatPr defaultRowHeight="12.75" x14ac:dyDescent="0.2"/>
  <cols>
    <col min="1" max="1" width="7.7109375" style="361" customWidth="1"/>
    <col min="2" max="2" width="15.42578125" style="361" customWidth="1"/>
    <col min="3" max="3" width="15.28515625" style="361" customWidth="1"/>
    <col min="4" max="5" width="15.42578125" style="361" customWidth="1"/>
    <col min="6" max="10" width="15.7109375" style="361" customWidth="1"/>
    <col min="11" max="11" width="14.28515625" style="361" customWidth="1"/>
    <col min="12" max="16384" width="9.140625" style="361"/>
  </cols>
  <sheetData>
    <row r="1" spans="1:11" ht="18" x14ac:dyDescent="0.35">
      <c r="A1" s="1381" t="s">
        <v>0</v>
      </c>
      <c r="B1" s="1381"/>
      <c r="C1" s="1381"/>
      <c r="D1" s="1381"/>
      <c r="E1" s="1381"/>
      <c r="F1" s="1381"/>
      <c r="G1" s="1381"/>
      <c r="H1" s="1381"/>
      <c r="I1" s="1381"/>
      <c r="J1" s="1381"/>
      <c r="K1" s="380" t="s">
        <v>659</v>
      </c>
    </row>
    <row r="2" spans="1:11" ht="21" x14ac:dyDescent="0.35">
      <c r="A2" s="1380" t="s">
        <v>788</v>
      </c>
      <c r="B2" s="1380"/>
      <c r="C2" s="1380"/>
      <c r="D2" s="1380"/>
      <c r="E2" s="1380"/>
      <c r="F2" s="1380"/>
      <c r="G2" s="1380"/>
      <c r="H2" s="1380"/>
      <c r="I2" s="1380"/>
      <c r="J2" s="1380"/>
      <c r="K2" s="1380"/>
    </row>
    <row r="3" spans="1:11" ht="15" x14ac:dyDescent="0.3">
      <c r="A3" s="485"/>
      <c r="B3" s="485"/>
      <c r="C3" s="485"/>
      <c r="D3" s="485"/>
      <c r="E3" s="485"/>
      <c r="F3" s="485"/>
      <c r="G3" s="485"/>
      <c r="H3" s="485"/>
      <c r="I3" s="485"/>
      <c r="J3" s="485"/>
    </row>
    <row r="4" spans="1:11" ht="18.75" x14ac:dyDescent="0.3">
      <c r="A4" s="1379" t="s">
        <v>695</v>
      </c>
      <c r="B4" s="1379"/>
      <c r="C4" s="1379"/>
      <c r="D4" s="1379"/>
      <c r="E4" s="1379"/>
      <c r="F4" s="1379"/>
      <c r="G4" s="1379"/>
      <c r="H4" s="1379"/>
      <c r="I4" s="1379"/>
      <c r="J4" s="1379"/>
      <c r="K4" s="1379"/>
    </row>
    <row r="5" spans="1:11" ht="15" x14ac:dyDescent="0.3">
      <c r="A5" s="382" t="s">
        <v>595</v>
      </c>
      <c r="B5" s="382"/>
      <c r="C5" s="382"/>
      <c r="D5" s="382"/>
      <c r="E5" s="382"/>
      <c r="F5" s="382"/>
      <c r="H5" s="382"/>
      <c r="I5" s="382"/>
      <c r="J5" s="382" t="s">
        <v>795</v>
      </c>
    </row>
    <row r="6" spans="1:11" ht="21.75" customHeight="1" x14ac:dyDescent="0.2">
      <c r="A6" s="1363" t="s">
        <v>2</v>
      </c>
      <c r="B6" s="1363" t="s">
        <v>37</v>
      </c>
      <c r="C6" s="1384" t="s">
        <v>621</v>
      </c>
      <c r="D6" s="1368"/>
      <c r="E6" s="1385"/>
      <c r="F6" s="1384" t="s">
        <v>622</v>
      </c>
      <c r="G6" s="1368"/>
      <c r="H6" s="1385"/>
      <c r="I6" s="1382" t="s">
        <v>736</v>
      </c>
      <c r="J6" s="1382" t="s">
        <v>737</v>
      </c>
      <c r="K6" s="1382" t="s">
        <v>78</v>
      </c>
    </row>
    <row r="7" spans="1:11" ht="26.25" customHeight="1" x14ac:dyDescent="0.2">
      <c r="A7" s="1364"/>
      <c r="B7" s="1364"/>
      <c r="C7" s="370" t="s">
        <v>623</v>
      </c>
      <c r="D7" s="370" t="s">
        <v>624</v>
      </c>
      <c r="E7" s="370" t="s">
        <v>625</v>
      </c>
      <c r="F7" s="370" t="s">
        <v>623</v>
      </c>
      <c r="G7" s="370" t="s">
        <v>624</v>
      </c>
      <c r="H7" s="370" t="s">
        <v>625</v>
      </c>
      <c r="I7" s="1383"/>
      <c r="J7" s="1383"/>
      <c r="K7" s="1383"/>
    </row>
    <row r="8" spans="1:11" ht="15" x14ac:dyDescent="0.2">
      <c r="A8" s="486">
        <v>1</v>
      </c>
      <c r="B8" s="486">
        <v>2</v>
      </c>
      <c r="C8" s="486">
        <v>3</v>
      </c>
      <c r="D8" s="486">
        <v>4</v>
      </c>
      <c r="E8" s="486">
        <v>5</v>
      </c>
      <c r="F8" s="486">
        <v>6</v>
      </c>
      <c r="G8" s="486">
        <v>7</v>
      </c>
      <c r="H8" s="486">
        <v>8</v>
      </c>
      <c r="I8" s="486">
        <v>9</v>
      </c>
      <c r="J8" s="486">
        <v>10</v>
      </c>
      <c r="K8" s="486">
        <v>11</v>
      </c>
    </row>
    <row r="9" spans="1:11" ht="15" customHeight="1" x14ac:dyDescent="0.2">
      <c r="A9" s="587">
        <v>1</v>
      </c>
      <c r="B9" s="219" t="s">
        <v>386</v>
      </c>
      <c r="C9" s="906">
        <v>0</v>
      </c>
      <c r="D9" s="906">
        <v>0</v>
      </c>
      <c r="E9" s="906">
        <v>0</v>
      </c>
      <c r="F9" s="906">
        <v>0</v>
      </c>
      <c r="G9" s="906">
        <v>0</v>
      </c>
      <c r="H9" s="906">
        <v>0</v>
      </c>
      <c r="I9" s="906">
        <v>0</v>
      </c>
      <c r="J9" s="906">
        <v>0</v>
      </c>
      <c r="K9" s="662"/>
    </row>
    <row r="10" spans="1:11" ht="15" customHeight="1" x14ac:dyDescent="0.2">
      <c r="A10" s="587">
        <v>2</v>
      </c>
      <c r="B10" s="219" t="s">
        <v>387</v>
      </c>
      <c r="C10" s="906">
        <v>0</v>
      </c>
      <c r="D10" s="906">
        <v>0</v>
      </c>
      <c r="E10" s="906">
        <v>0</v>
      </c>
      <c r="F10" s="906">
        <v>0</v>
      </c>
      <c r="G10" s="906">
        <v>0</v>
      </c>
      <c r="H10" s="906">
        <v>0</v>
      </c>
      <c r="I10" s="906">
        <v>0</v>
      </c>
      <c r="J10" s="906">
        <v>0</v>
      </c>
      <c r="K10" s="662"/>
    </row>
    <row r="11" spans="1:11" ht="15" customHeight="1" x14ac:dyDescent="0.2">
      <c r="A11" s="587">
        <v>3</v>
      </c>
      <c r="B11" s="219" t="s">
        <v>388</v>
      </c>
      <c r="C11" s="906">
        <v>0</v>
      </c>
      <c r="D11" s="906">
        <v>0</v>
      </c>
      <c r="E11" s="906">
        <v>0</v>
      </c>
      <c r="F11" s="906">
        <v>0</v>
      </c>
      <c r="G11" s="906">
        <v>0</v>
      </c>
      <c r="H11" s="906">
        <v>0</v>
      </c>
      <c r="I11" s="906">
        <v>0</v>
      </c>
      <c r="J11" s="906">
        <v>0</v>
      </c>
      <c r="K11" s="662"/>
    </row>
    <row r="12" spans="1:11" ht="15" customHeight="1" x14ac:dyDescent="0.2">
      <c r="A12" s="587">
        <v>4</v>
      </c>
      <c r="B12" s="219" t="s">
        <v>389</v>
      </c>
      <c r="C12" s="906">
        <v>0</v>
      </c>
      <c r="D12" s="906">
        <v>0</v>
      </c>
      <c r="E12" s="906">
        <v>0</v>
      </c>
      <c r="F12" s="906">
        <v>0</v>
      </c>
      <c r="G12" s="906">
        <v>0</v>
      </c>
      <c r="H12" s="906">
        <v>0</v>
      </c>
      <c r="I12" s="906">
        <v>0</v>
      </c>
      <c r="J12" s="906">
        <v>0</v>
      </c>
      <c r="K12" s="662"/>
    </row>
    <row r="13" spans="1:11" ht="15" customHeight="1" x14ac:dyDescent="0.2">
      <c r="A13" s="587">
        <v>5</v>
      </c>
      <c r="B13" s="221" t="s">
        <v>390</v>
      </c>
      <c r="C13" s="906">
        <v>0</v>
      </c>
      <c r="D13" s="906">
        <v>0</v>
      </c>
      <c r="E13" s="906">
        <v>0</v>
      </c>
      <c r="F13" s="906">
        <v>0</v>
      </c>
      <c r="G13" s="906">
        <v>0</v>
      </c>
      <c r="H13" s="906">
        <v>0</v>
      </c>
      <c r="I13" s="906">
        <v>0</v>
      </c>
      <c r="J13" s="906">
        <v>0</v>
      </c>
      <c r="K13" s="662"/>
    </row>
    <row r="14" spans="1:11" ht="15" customHeight="1" x14ac:dyDescent="0.2">
      <c r="A14" s="587">
        <v>6</v>
      </c>
      <c r="B14" s="219" t="s">
        <v>391</v>
      </c>
      <c r="C14" s="906">
        <v>0</v>
      </c>
      <c r="D14" s="906">
        <v>0</v>
      </c>
      <c r="E14" s="906">
        <v>0</v>
      </c>
      <c r="F14" s="906">
        <v>0</v>
      </c>
      <c r="G14" s="906">
        <v>0</v>
      </c>
      <c r="H14" s="906">
        <v>0</v>
      </c>
      <c r="I14" s="906">
        <v>0</v>
      </c>
      <c r="J14" s="906">
        <v>0</v>
      </c>
      <c r="K14" s="662"/>
    </row>
    <row r="15" spans="1:11" ht="15" customHeight="1" x14ac:dyDescent="0.2">
      <c r="A15" s="587">
        <v>7</v>
      </c>
      <c r="B15" s="221" t="s">
        <v>392</v>
      </c>
      <c r="C15" s="906">
        <v>0</v>
      </c>
      <c r="D15" s="906">
        <v>0</v>
      </c>
      <c r="E15" s="906">
        <v>0</v>
      </c>
      <c r="F15" s="906">
        <v>0</v>
      </c>
      <c r="G15" s="906">
        <v>0</v>
      </c>
      <c r="H15" s="906">
        <v>0</v>
      </c>
      <c r="I15" s="906">
        <v>0</v>
      </c>
      <c r="J15" s="906">
        <v>0</v>
      </c>
      <c r="K15" s="662"/>
    </row>
    <row r="16" spans="1:11" ht="15" customHeight="1" x14ac:dyDescent="0.25">
      <c r="A16" s="587">
        <v>8</v>
      </c>
      <c r="B16" s="219" t="s">
        <v>393</v>
      </c>
      <c r="C16" s="907">
        <v>0</v>
      </c>
      <c r="D16" s="907">
        <v>0</v>
      </c>
      <c r="E16" s="907">
        <v>0</v>
      </c>
      <c r="F16" s="907">
        <v>0</v>
      </c>
      <c r="G16" s="907">
        <v>0</v>
      </c>
      <c r="H16" s="907">
        <v>0</v>
      </c>
      <c r="I16" s="906">
        <v>0</v>
      </c>
      <c r="J16" s="907">
        <v>0</v>
      </c>
      <c r="K16" s="662"/>
    </row>
    <row r="17" spans="1:13" ht="15" customHeight="1" x14ac:dyDescent="0.2">
      <c r="A17" s="587">
        <v>9</v>
      </c>
      <c r="B17" s="219" t="s">
        <v>394</v>
      </c>
      <c r="C17" s="906">
        <v>0</v>
      </c>
      <c r="D17" s="906">
        <v>0</v>
      </c>
      <c r="E17" s="906">
        <v>0</v>
      </c>
      <c r="F17" s="906">
        <v>0</v>
      </c>
      <c r="G17" s="906">
        <v>0</v>
      </c>
      <c r="H17" s="906">
        <v>0</v>
      </c>
      <c r="I17" s="906">
        <v>0</v>
      </c>
      <c r="J17" s="906">
        <v>0</v>
      </c>
      <c r="K17" s="662"/>
      <c r="M17" s="361" t="s">
        <v>10</v>
      </c>
    </row>
    <row r="18" spans="1:13" ht="15" customHeight="1" x14ac:dyDescent="0.25">
      <c r="A18" s="587">
        <v>10</v>
      </c>
      <c r="B18" s="219" t="s">
        <v>395</v>
      </c>
      <c r="C18" s="907">
        <v>0</v>
      </c>
      <c r="D18" s="907">
        <v>0</v>
      </c>
      <c r="E18" s="907">
        <v>0</v>
      </c>
      <c r="F18" s="907">
        <v>0</v>
      </c>
      <c r="G18" s="907">
        <v>0</v>
      </c>
      <c r="H18" s="907">
        <v>0</v>
      </c>
      <c r="I18" s="906">
        <v>0</v>
      </c>
      <c r="J18" s="907">
        <v>0</v>
      </c>
      <c r="K18" s="662"/>
      <c r="M18" s="361" t="s">
        <v>10</v>
      </c>
    </row>
    <row r="19" spans="1:13" ht="15" customHeight="1" x14ac:dyDescent="0.2">
      <c r="A19" s="587">
        <v>11</v>
      </c>
      <c r="B19" s="219" t="s">
        <v>396</v>
      </c>
      <c r="C19" s="906">
        <v>0</v>
      </c>
      <c r="D19" s="906">
        <v>0</v>
      </c>
      <c r="E19" s="906">
        <v>0</v>
      </c>
      <c r="F19" s="906">
        <v>0</v>
      </c>
      <c r="G19" s="906">
        <v>0</v>
      </c>
      <c r="H19" s="906">
        <v>0</v>
      </c>
      <c r="I19" s="906">
        <v>0</v>
      </c>
      <c r="J19" s="906">
        <v>0</v>
      </c>
      <c r="K19" s="662"/>
      <c r="M19" s="361" t="s">
        <v>10</v>
      </c>
    </row>
    <row r="20" spans="1:13" ht="15" customHeight="1" x14ac:dyDescent="0.2">
      <c r="A20" s="587">
        <v>12</v>
      </c>
      <c r="B20" s="219" t="s">
        <v>397</v>
      </c>
      <c r="C20" s="906">
        <v>0</v>
      </c>
      <c r="D20" s="906">
        <v>0</v>
      </c>
      <c r="E20" s="906">
        <v>0</v>
      </c>
      <c r="F20" s="906">
        <v>0</v>
      </c>
      <c r="G20" s="906">
        <v>0</v>
      </c>
      <c r="H20" s="906">
        <v>0</v>
      </c>
      <c r="I20" s="906">
        <v>0</v>
      </c>
      <c r="J20" s="906">
        <v>0</v>
      </c>
      <c r="K20" s="662"/>
    </row>
    <row r="21" spans="1:13" ht="15" customHeight="1" x14ac:dyDescent="0.2">
      <c r="A21" s="587">
        <v>13</v>
      </c>
      <c r="B21" s="219" t="s">
        <v>398</v>
      </c>
      <c r="C21" s="906">
        <v>0</v>
      </c>
      <c r="D21" s="906">
        <v>0</v>
      </c>
      <c r="E21" s="906">
        <v>0</v>
      </c>
      <c r="F21" s="906">
        <v>0</v>
      </c>
      <c r="G21" s="906">
        <v>0</v>
      </c>
      <c r="H21" s="906">
        <v>0</v>
      </c>
      <c r="I21" s="906">
        <v>0</v>
      </c>
      <c r="J21" s="906">
        <v>0</v>
      </c>
      <c r="K21" s="662"/>
    </row>
    <row r="22" spans="1:13" x14ac:dyDescent="0.2">
      <c r="A22" s="227" t="s">
        <v>18</v>
      </c>
      <c r="B22" s="227"/>
      <c r="C22" s="565">
        <f>SUM(C9:C21)</f>
        <v>0</v>
      </c>
      <c r="D22" s="565">
        <f t="shared" ref="D22:J22" si="0">SUM(D9:D21)</f>
        <v>0</v>
      </c>
      <c r="E22" s="565">
        <f t="shared" si="0"/>
        <v>0</v>
      </c>
      <c r="F22" s="565">
        <f t="shared" si="0"/>
        <v>0</v>
      </c>
      <c r="G22" s="565">
        <f t="shared" si="0"/>
        <v>0</v>
      </c>
      <c r="H22" s="565">
        <f t="shared" si="0"/>
        <v>0</v>
      </c>
      <c r="I22" s="565">
        <f t="shared" si="0"/>
        <v>0</v>
      </c>
      <c r="J22" s="565">
        <f t="shared" si="0"/>
        <v>0</v>
      </c>
      <c r="K22" s="908"/>
    </row>
    <row r="25" spans="1:13" ht="12.75" customHeight="1" x14ac:dyDescent="0.2">
      <c r="A25" s="114"/>
      <c r="B25" s="114"/>
      <c r="C25" s="114"/>
      <c r="D25" s="114"/>
      <c r="E25" s="114"/>
      <c r="F25" s="114"/>
    </row>
    <row r="26" spans="1:13" ht="12.75" customHeight="1" x14ac:dyDescent="0.2">
      <c r="A26" s="114" t="s">
        <v>11</v>
      </c>
      <c r="B26" s="114"/>
      <c r="C26" s="114"/>
      <c r="D26" s="114"/>
      <c r="E26" s="114"/>
      <c r="F26" s="114"/>
      <c r="G26" s="1274" t="s">
        <v>12</v>
      </c>
      <c r="H26" s="1274"/>
      <c r="I26" s="1274"/>
      <c r="J26" s="1274"/>
      <c r="K26" s="1274"/>
    </row>
    <row r="27" spans="1:13" ht="12.75" customHeight="1" x14ac:dyDescent="0.2">
      <c r="A27" s="114"/>
      <c r="B27" s="114"/>
      <c r="C27" s="114"/>
      <c r="D27" s="114"/>
      <c r="E27" s="114"/>
      <c r="F27" s="114"/>
      <c r="G27" s="1274" t="s">
        <v>13</v>
      </c>
      <c r="H27" s="1274"/>
      <c r="I27" s="1274"/>
      <c r="J27" s="1274"/>
      <c r="K27" s="1274"/>
    </row>
    <row r="28" spans="1:13" ht="12.75" customHeight="1" x14ac:dyDescent="0.2">
      <c r="F28" s="114"/>
      <c r="H28" s="115" t="s">
        <v>87</v>
      </c>
      <c r="I28" s="637"/>
      <c r="J28" s="637"/>
    </row>
    <row r="29" spans="1:13" x14ac:dyDescent="0.2">
      <c r="H29" s="116" t="s">
        <v>84</v>
      </c>
      <c r="I29" s="638"/>
      <c r="J29" s="638"/>
    </row>
  </sheetData>
  <mergeCells count="12">
    <mergeCell ref="G27:K27"/>
    <mergeCell ref="A6:A7"/>
    <mergeCell ref="B6:B7"/>
    <mergeCell ref="C6:E6"/>
    <mergeCell ref="F6:H6"/>
    <mergeCell ref="I6:I7"/>
    <mergeCell ref="J6:J7"/>
    <mergeCell ref="A4:K4"/>
    <mergeCell ref="A2:K2"/>
    <mergeCell ref="A1:J1"/>
    <mergeCell ref="K6:K7"/>
    <mergeCell ref="G26:K26"/>
  </mergeCells>
  <printOptions horizontalCentered="1"/>
  <pageMargins left="0.70866141732283472" right="0.70866141732283472" top="0.23622047244094491" bottom="0" header="0.31496062992125984" footer="0.31496062992125984"/>
  <pageSetup paperSize="9" scale="82"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5" tint="0.39997558519241921"/>
    <pageSetUpPr fitToPage="1"/>
  </sheetPr>
  <dimension ref="A1:L34"/>
  <sheetViews>
    <sheetView view="pageBreakPreview" topLeftCell="A10" zoomScale="70" zoomScaleNormal="85" zoomScaleSheetLayoutView="70" workbookViewId="0">
      <selection activeCell="K26" sqref="K26"/>
    </sheetView>
  </sheetViews>
  <sheetFormatPr defaultRowHeight="12.75" x14ac:dyDescent="0.2"/>
  <cols>
    <col min="1" max="1" width="7.42578125" style="1002" customWidth="1"/>
    <col min="2" max="2" width="15" style="1002" customWidth="1"/>
    <col min="3" max="3" width="16.28515625" style="1002" customWidth="1"/>
    <col min="4" max="4" width="16.5703125" style="1002" customWidth="1"/>
    <col min="5" max="5" width="14.28515625" style="1002" customWidth="1"/>
    <col min="6" max="6" width="15.140625" style="1002" customWidth="1"/>
    <col min="7" max="12" width="14.28515625" style="1002" customWidth="1"/>
    <col min="13" max="16384" width="9.140625" style="1002"/>
  </cols>
  <sheetData>
    <row r="1" spans="1:12" ht="15" x14ac:dyDescent="0.2">
      <c r="A1" s="55"/>
      <c r="B1" s="55"/>
      <c r="C1" s="55"/>
      <c r="D1" s="55"/>
      <c r="E1" s="55"/>
      <c r="F1" s="55"/>
      <c r="G1" s="55"/>
      <c r="H1" s="55"/>
      <c r="K1" s="1225" t="s">
        <v>88</v>
      </c>
      <c r="L1" s="1225"/>
    </row>
    <row r="2" spans="1:12" ht="15.75" x14ac:dyDescent="0.25">
      <c r="A2" s="1119" t="s">
        <v>0</v>
      </c>
      <c r="B2" s="1119"/>
      <c r="C2" s="1119"/>
      <c r="D2" s="1119"/>
      <c r="E2" s="1119"/>
      <c r="F2" s="1119"/>
      <c r="G2" s="1119"/>
      <c r="H2" s="1119"/>
      <c r="I2" s="1119"/>
      <c r="J2" s="1119"/>
      <c r="K2" s="1119"/>
      <c r="L2" s="1119"/>
    </row>
    <row r="3" spans="1:12" ht="15.75" x14ac:dyDescent="0.25">
      <c r="A3" s="1119" t="s">
        <v>788</v>
      </c>
      <c r="B3" s="1119"/>
      <c r="C3" s="1119"/>
      <c r="D3" s="1119"/>
      <c r="E3" s="1119"/>
      <c r="F3" s="1119"/>
      <c r="G3" s="1119"/>
      <c r="H3" s="1119"/>
      <c r="I3" s="1119"/>
      <c r="J3" s="1119"/>
      <c r="K3" s="1119"/>
      <c r="L3" s="1119"/>
    </row>
    <row r="4" spans="1:12" ht="20.25" x14ac:dyDescent="0.3">
      <c r="A4" s="1390" t="s">
        <v>897</v>
      </c>
      <c r="B4" s="1390"/>
      <c r="C4" s="1390"/>
      <c r="D4" s="1390"/>
      <c r="E4" s="1390"/>
      <c r="F4" s="1390"/>
      <c r="G4" s="1390"/>
      <c r="H4" s="1390"/>
      <c r="I4" s="1390"/>
      <c r="J4" s="1390"/>
      <c r="K4" s="1390"/>
      <c r="L4" s="1390"/>
    </row>
    <row r="5" spans="1:12" x14ac:dyDescent="0.2">
      <c r="A5" s="55"/>
      <c r="B5" s="55"/>
      <c r="C5" s="55"/>
      <c r="D5" s="55"/>
      <c r="E5" s="55"/>
      <c r="F5" s="55"/>
      <c r="G5" s="55"/>
      <c r="H5" s="55"/>
      <c r="I5" s="55"/>
      <c r="J5" s="55"/>
      <c r="K5" s="55"/>
      <c r="L5" s="55"/>
    </row>
    <row r="6" spans="1:12" x14ac:dyDescent="0.2">
      <c r="A6" s="1075" t="s">
        <v>456</v>
      </c>
      <c r="B6" s="1075"/>
      <c r="C6" s="1075"/>
      <c r="D6" s="55"/>
      <c r="E6" s="55"/>
      <c r="F6" s="55"/>
      <c r="G6" s="55"/>
      <c r="H6" s="995"/>
      <c r="I6" s="55"/>
      <c r="J6" s="55"/>
      <c r="K6" s="55"/>
      <c r="L6" s="55"/>
    </row>
    <row r="7" spans="1:12" ht="18" x14ac:dyDescent="0.25">
      <c r="A7" s="59"/>
      <c r="B7" s="59"/>
      <c r="C7" s="55"/>
      <c r="D7" s="55"/>
      <c r="E7" s="55"/>
      <c r="F7" s="55"/>
      <c r="G7" s="55"/>
      <c r="H7" s="55"/>
      <c r="I7" s="72"/>
      <c r="J7" s="999"/>
      <c r="K7" s="1174" t="s">
        <v>795</v>
      </c>
      <c r="L7" s="1174"/>
    </row>
    <row r="8" spans="1:12" ht="27.75" customHeight="1" x14ac:dyDescent="0.2">
      <c r="A8" s="1391" t="s">
        <v>240</v>
      </c>
      <c r="B8" s="1391" t="s">
        <v>239</v>
      </c>
      <c r="C8" s="1221" t="s">
        <v>525</v>
      </c>
      <c r="D8" s="1136" t="s">
        <v>526</v>
      </c>
      <c r="E8" s="1165" t="s">
        <v>238</v>
      </c>
      <c r="F8" s="1167"/>
      <c r="G8" s="1165" t="s">
        <v>527</v>
      </c>
      <c r="H8" s="1167"/>
      <c r="I8" s="1165" t="s">
        <v>248</v>
      </c>
      <c r="J8" s="1167"/>
      <c r="K8" s="1387" t="s">
        <v>250</v>
      </c>
      <c r="L8" s="1388"/>
    </row>
    <row r="9" spans="1:12" ht="38.25" x14ac:dyDescent="0.2">
      <c r="A9" s="1392"/>
      <c r="B9" s="1392"/>
      <c r="C9" s="1389"/>
      <c r="D9" s="1137"/>
      <c r="E9" s="997" t="s">
        <v>237</v>
      </c>
      <c r="F9" s="1000" t="s">
        <v>212</v>
      </c>
      <c r="G9" s="997" t="s">
        <v>237</v>
      </c>
      <c r="H9" s="1000" t="s">
        <v>212</v>
      </c>
      <c r="I9" s="997" t="s">
        <v>237</v>
      </c>
      <c r="J9" s="997" t="s">
        <v>212</v>
      </c>
      <c r="K9" s="998" t="s">
        <v>237</v>
      </c>
      <c r="L9" s="998" t="s">
        <v>212</v>
      </c>
    </row>
    <row r="10" spans="1:12" s="11" customFormat="1" x14ac:dyDescent="0.2">
      <c r="A10" s="1001">
        <v>1</v>
      </c>
      <c r="B10" s="1001">
        <v>2</v>
      </c>
      <c r="C10" s="1001">
        <v>3</v>
      </c>
      <c r="D10" s="1001">
        <v>4</v>
      </c>
      <c r="E10" s="1001">
        <v>5</v>
      </c>
      <c r="F10" s="1001">
        <v>6</v>
      </c>
      <c r="G10" s="1001">
        <v>7</v>
      </c>
      <c r="H10" s="1001">
        <v>8</v>
      </c>
      <c r="I10" s="1001">
        <v>9</v>
      </c>
      <c r="J10" s="1001">
        <v>10</v>
      </c>
      <c r="K10" s="1001">
        <v>11</v>
      </c>
      <c r="L10" s="1001">
        <v>12</v>
      </c>
    </row>
    <row r="11" spans="1:12" ht="35.1" customHeight="1" x14ac:dyDescent="0.2">
      <c r="A11" s="996">
        <v>1</v>
      </c>
      <c r="B11" s="358" t="s">
        <v>386</v>
      </c>
      <c r="C11" s="355">
        <v>1797</v>
      </c>
      <c r="D11" s="355">
        <v>44935</v>
      </c>
      <c r="E11" s="355">
        <v>1797</v>
      </c>
      <c r="F11" s="355">
        <v>44935</v>
      </c>
      <c r="G11" s="355">
        <v>1797</v>
      </c>
      <c r="H11" s="355">
        <v>44935</v>
      </c>
      <c r="I11" s="355">
        <v>1797</v>
      </c>
      <c r="J11" s="355">
        <v>44935</v>
      </c>
      <c r="K11" s="355">
        <v>1797</v>
      </c>
      <c r="L11" s="355">
        <v>398</v>
      </c>
    </row>
    <row r="12" spans="1:12" ht="35.1" customHeight="1" x14ac:dyDescent="0.2">
      <c r="A12" s="996">
        <v>2</v>
      </c>
      <c r="B12" s="358" t="s">
        <v>387</v>
      </c>
      <c r="C12" s="355">
        <v>796</v>
      </c>
      <c r="D12" s="355">
        <v>22012</v>
      </c>
      <c r="E12" s="566">
        <v>796</v>
      </c>
      <c r="F12" s="355">
        <v>22012</v>
      </c>
      <c r="G12" s="566">
        <v>796</v>
      </c>
      <c r="H12" s="355">
        <v>22012</v>
      </c>
      <c r="I12" s="566">
        <v>796</v>
      </c>
      <c r="J12" s="355">
        <v>22012</v>
      </c>
      <c r="K12" s="355">
        <v>796</v>
      </c>
      <c r="L12" s="355">
        <v>117</v>
      </c>
    </row>
    <row r="13" spans="1:12" ht="35.1" customHeight="1" x14ac:dyDescent="0.2">
      <c r="A13" s="996">
        <v>3</v>
      </c>
      <c r="B13" s="358" t="s">
        <v>388</v>
      </c>
      <c r="C13" s="355">
        <v>1406</v>
      </c>
      <c r="D13" s="355">
        <v>35300</v>
      </c>
      <c r="E13" s="355">
        <v>1406</v>
      </c>
      <c r="F13" s="355">
        <v>35300</v>
      </c>
      <c r="G13" s="355">
        <v>1406</v>
      </c>
      <c r="H13" s="355">
        <v>35300</v>
      </c>
      <c r="I13" s="355">
        <v>1406</v>
      </c>
      <c r="J13" s="355">
        <v>35300</v>
      </c>
      <c r="K13" s="355">
        <v>1406</v>
      </c>
      <c r="L13" s="355">
        <v>170</v>
      </c>
    </row>
    <row r="14" spans="1:12" ht="35.1" customHeight="1" x14ac:dyDescent="0.2">
      <c r="A14" s="996">
        <v>4</v>
      </c>
      <c r="B14" s="358" t="s">
        <v>389</v>
      </c>
      <c r="C14" s="355">
        <v>688</v>
      </c>
      <c r="D14" s="355">
        <v>22841</v>
      </c>
      <c r="E14" s="355">
        <v>688</v>
      </c>
      <c r="F14" s="355">
        <v>22841</v>
      </c>
      <c r="G14" s="355">
        <v>688</v>
      </c>
      <c r="H14" s="355">
        <v>22841</v>
      </c>
      <c r="I14" s="355">
        <v>688</v>
      </c>
      <c r="J14" s="355">
        <v>22841</v>
      </c>
      <c r="K14" s="355">
        <v>688</v>
      </c>
      <c r="L14" s="355">
        <v>125</v>
      </c>
    </row>
    <row r="15" spans="1:12" ht="35.1" customHeight="1" x14ac:dyDescent="0.2">
      <c r="A15" s="996">
        <v>5</v>
      </c>
      <c r="B15" s="359" t="s">
        <v>390</v>
      </c>
      <c r="C15" s="355">
        <v>1443</v>
      </c>
      <c r="D15" s="355">
        <v>74473</v>
      </c>
      <c r="E15" s="355">
        <v>1443</v>
      </c>
      <c r="F15" s="355">
        <v>74473</v>
      </c>
      <c r="G15" s="355">
        <v>1443</v>
      </c>
      <c r="H15" s="355">
        <v>74473</v>
      </c>
      <c r="I15" s="355">
        <v>1443</v>
      </c>
      <c r="J15" s="355">
        <v>74473</v>
      </c>
      <c r="K15" s="355">
        <v>1443</v>
      </c>
      <c r="L15" s="355">
        <v>520</v>
      </c>
    </row>
    <row r="16" spans="1:12" ht="35.1" customHeight="1" x14ac:dyDescent="0.2">
      <c r="A16" s="996">
        <v>6</v>
      </c>
      <c r="B16" s="358" t="s">
        <v>391</v>
      </c>
      <c r="C16" s="355">
        <v>1082</v>
      </c>
      <c r="D16" s="355">
        <v>151491</v>
      </c>
      <c r="E16" s="355">
        <v>1082</v>
      </c>
      <c r="F16" s="355">
        <v>151491</v>
      </c>
      <c r="G16" s="355">
        <v>1082</v>
      </c>
      <c r="H16" s="355">
        <v>151491</v>
      </c>
      <c r="I16" s="355">
        <v>1082</v>
      </c>
      <c r="J16" s="355">
        <v>151491</v>
      </c>
      <c r="K16" s="355">
        <v>1082</v>
      </c>
      <c r="L16" s="355">
        <v>647</v>
      </c>
    </row>
    <row r="17" spans="1:12" ht="35.1" customHeight="1" x14ac:dyDescent="0.2">
      <c r="A17" s="996">
        <v>7</v>
      </c>
      <c r="B17" s="359" t="s">
        <v>392</v>
      </c>
      <c r="C17" s="355">
        <v>1406</v>
      </c>
      <c r="D17" s="355">
        <v>62182</v>
      </c>
      <c r="E17" s="355">
        <v>1406</v>
      </c>
      <c r="F17" s="355">
        <v>62182</v>
      </c>
      <c r="G17" s="355">
        <v>1406</v>
      </c>
      <c r="H17" s="355">
        <v>62182</v>
      </c>
      <c r="I17" s="355">
        <v>1406</v>
      </c>
      <c r="J17" s="355">
        <v>62182</v>
      </c>
      <c r="K17" s="355">
        <v>1406</v>
      </c>
      <c r="L17" s="355">
        <v>391</v>
      </c>
    </row>
    <row r="18" spans="1:12" ht="35.1" customHeight="1" x14ac:dyDescent="0.2">
      <c r="A18" s="996">
        <v>8</v>
      </c>
      <c r="B18" s="358" t="s">
        <v>393</v>
      </c>
      <c r="C18" s="355">
        <v>2146</v>
      </c>
      <c r="D18" s="355">
        <v>44416</v>
      </c>
      <c r="E18" s="355">
        <v>2146</v>
      </c>
      <c r="F18" s="355">
        <v>44416</v>
      </c>
      <c r="G18" s="355">
        <v>2146</v>
      </c>
      <c r="H18" s="355">
        <v>44416</v>
      </c>
      <c r="I18" s="355">
        <v>2146</v>
      </c>
      <c r="J18" s="355">
        <v>44416</v>
      </c>
      <c r="K18" s="355">
        <v>2146</v>
      </c>
      <c r="L18" s="355">
        <v>406</v>
      </c>
    </row>
    <row r="19" spans="1:12" ht="35.1" customHeight="1" x14ac:dyDescent="0.2">
      <c r="A19" s="996">
        <v>9</v>
      </c>
      <c r="B19" s="358" t="s">
        <v>394</v>
      </c>
      <c r="C19" s="355">
        <v>1532</v>
      </c>
      <c r="D19" s="355">
        <v>33903</v>
      </c>
      <c r="E19" s="355">
        <v>1532</v>
      </c>
      <c r="F19" s="355">
        <v>33903</v>
      </c>
      <c r="G19" s="355">
        <v>1532</v>
      </c>
      <c r="H19" s="355">
        <v>33903</v>
      </c>
      <c r="I19" s="355">
        <v>1532</v>
      </c>
      <c r="J19" s="355">
        <v>33903</v>
      </c>
      <c r="K19" s="355">
        <v>1532</v>
      </c>
      <c r="L19" s="355">
        <v>151</v>
      </c>
    </row>
    <row r="20" spans="1:12" ht="35.1" customHeight="1" x14ac:dyDescent="0.2">
      <c r="A20" s="996">
        <v>10</v>
      </c>
      <c r="B20" s="358" t="s">
        <v>395</v>
      </c>
      <c r="C20" s="355">
        <v>797</v>
      </c>
      <c r="D20" s="355">
        <v>23342</v>
      </c>
      <c r="E20" s="355">
        <v>797</v>
      </c>
      <c r="F20" s="355">
        <v>23342</v>
      </c>
      <c r="G20" s="355">
        <v>797</v>
      </c>
      <c r="H20" s="355">
        <v>23342</v>
      </c>
      <c r="I20" s="355">
        <v>797</v>
      </c>
      <c r="J20" s="355">
        <v>23342</v>
      </c>
      <c r="K20" s="355">
        <v>797</v>
      </c>
      <c r="L20" s="355">
        <v>141</v>
      </c>
    </row>
    <row r="21" spans="1:12" ht="35.1" customHeight="1" x14ac:dyDescent="0.2">
      <c r="A21" s="996">
        <v>11</v>
      </c>
      <c r="B21" s="358" t="s">
        <v>396</v>
      </c>
      <c r="C21" s="355">
        <v>1921</v>
      </c>
      <c r="D21" s="355">
        <v>54505</v>
      </c>
      <c r="E21" s="355">
        <v>1921</v>
      </c>
      <c r="F21" s="355">
        <v>54505</v>
      </c>
      <c r="G21" s="355">
        <v>1921</v>
      </c>
      <c r="H21" s="355">
        <v>54505</v>
      </c>
      <c r="I21" s="355">
        <v>1921</v>
      </c>
      <c r="J21" s="355">
        <v>54505</v>
      </c>
      <c r="K21" s="355">
        <v>1921</v>
      </c>
      <c r="L21" s="355">
        <v>251</v>
      </c>
    </row>
    <row r="22" spans="1:12" ht="35.1" customHeight="1" x14ac:dyDescent="0.2">
      <c r="A22" s="996">
        <v>12</v>
      </c>
      <c r="B22" s="358" t="s">
        <v>397</v>
      </c>
      <c r="C22" s="355">
        <v>1276</v>
      </c>
      <c r="D22" s="355">
        <v>118074</v>
      </c>
      <c r="E22" s="355">
        <v>1276</v>
      </c>
      <c r="F22" s="355">
        <v>118074</v>
      </c>
      <c r="G22" s="355">
        <v>1276</v>
      </c>
      <c r="H22" s="355">
        <v>118074</v>
      </c>
      <c r="I22" s="355">
        <v>1276</v>
      </c>
      <c r="J22" s="355">
        <v>118074</v>
      </c>
      <c r="K22" s="355">
        <v>1276</v>
      </c>
      <c r="L22" s="355">
        <v>685</v>
      </c>
    </row>
    <row r="23" spans="1:12" ht="35.1" customHeight="1" x14ac:dyDescent="0.2">
      <c r="A23" s="996">
        <v>13</v>
      </c>
      <c r="B23" s="358" t="s">
        <v>398</v>
      </c>
      <c r="C23" s="355">
        <v>1054</v>
      </c>
      <c r="D23" s="355">
        <v>29436</v>
      </c>
      <c r="E23" s="355">
        <v>1054</v>
      </c>
      <c r="F23" s="355">
        <v>29436</v>
      </c>
      <c r="G23" s="355">
        <v>1054</v>
      </c>
      <c r="H23" s="355">
        <v>29436</v>
      </c>
      <c r="I23" s="355">
        <v>1054</v>
      </c>
      <c r="J23" s="355">
        <v>29436</v>
      </c>
      <c r="K23" s="355">
        <v>1054</v>
      </c>
      <c r="L23" s="355">
        <v>120</v>
      </c>
    </row>
    <row r="24" spans="1:12" s="11" customFormat="1" ht="35.1" customHeight="1" x14ac:dyDescent="0.2">
      <c r="A24" s="1003" t="s">
        <v>18</v>
      </c>
      <c r="B24" s="1003"/>
      <c r="C24" s="357">
        <f t="shared" ref="C24:L24" si="0">SUM(C11:C23)</f>
        <v>17344</v>
      </c>
      <c r="D24" s="357">
        <f t="shared" si="0"/>
        <v>716910</v>
      </c>
      <c r="E24" s="357">
        <f t="shared" si="0"/>
        <v>17344</v>
      </c>
      <c r="F24" s="357">
        <f t="shared" si="0"/>
        <v>716910</v>
      </c>
      <c r="G24" s="357">
        <f t="shared" si="0"/>
        <v>17344</v>
      </c>
      <c r="H24" s="357">
        <f t="shared" si="0"/>
        <v>716910</v>
      </c>
      <c r="I24" s="357">
        <f t="shared" si="0"/>
        <v>17344</v>
      </c>
      <c r="J24" s="357">
        <f t="shared" si="0"/>
        <v>716910</v>
      </c>
      <c r="K24" s="357">
        <f t="shared" si="0"/>
        <v>17344</v>
      </c>
      <c r="L24" s="357">
        <f t="shared" si="0"/>
        <v>4122</v>
      </c>
    </row>
    <row r="25" spans="1:12" x14ac:dyDescent="0.2">
      <c r="A25" s="60"/>
      <c r="B25" s="60"/>
      <c r="C25" s="55"/>
      <c r="D25" s="55"/>
      <c r="E25" s="55"/>
      <c r="F25" s="55"/>
      <c r="G25" s="55"/>
      <c r="H25" s="55"/>
      <c r="I25" s="55"/>
      <c r="J25" s="55"/>
      <c r="K25" s="55"/>
      <c r="L25" s="55"/>
    </row>
    <row r="26" spans="1:12" x14ac:dyDescent="0.2">
      <c r="A26" s="55"/>
      <c r="B26" s="55"/>
      <c r="C26" s="55"/>
      <c r="D26" s="55"/>
      <c r="E26" s="55"/>
      <c r="F26" s="55"/>
      <c r="G26" s="55"/>
      <c r="H26" s="55"/>
      <c r="I26" s="55"/>
      <c r="J26" s="55"/>
      <c r="K26" s="55"/>
      <c r="L26" s="55"/>
    </row>
    <row r="27" spans="1:12" x14ac:dyDescent="0.2">
      <c r="A27" s="55"/>
      <c r="B27" s="55"/>
      <c r="C27" s="55"/>
      <c r="D27" s="55"/>
      <c r="E27" s="55"/>
      <c r="F27" s="55"/>
      <c r="G27" s="55"/>
      <c r="H27" s="55"/>
      <c r="I27" s="55"/>
      <c r="J27" s="55"/>
      <c r="K27" s="55"/>
      <c r="L27" s="55"/>
    </row>
    <row r="29" spans="1:12" x14ac:dyDescent="0.2">
      <c r="A29" s="1164"/>
      <c r="B29" s="1164"/>
      <c r="C29" s="1164"/>
      <c r="D29" s="1164"/>
      <c r="E29" s="1164"/>
      <c r="F29" s="1164"/>
      <c r="G29" s="1164"/>
      <c r="H29" s="1164"/>
      <c r="I29" s="1164"/>
      <c r="J29" s="1164"/>
      <c r="K29" s="1164"/>
      <c r="L29" s="1164"/>
    </row>
    <row r="30" spans="1:12" x14ac:dyDescent="0.2">
      <c r="A30" s="55"/>
      <c r="B30" s="55"/>
      <c r="C30" s="55"/>
      <c r="D30" s="55"/>
      <c r="E30" s="55"/>
      <c r="F30" s="55"/>
      <c r="G30" s="55"/>
      <c r="H30" s="55"/>
      <c r="I30" s="55"/>
      <c r="J30" s="55"/>
      <c r="K30" s="55"/>
      <c r="L30" s="55"/>
    </row>
    <row r="31" spans="1:12" ht="15.75" customHeight="1" x14ac:dyDescent="0.25">
      <c r="A31" s="63" t="s">
        <v>11</v>
      </c>
      <c r="B31" s="63"/>
      <c r="C31" s="63"/>
      <c r="D31" s="63"/>
      <c r="E31" s="63"/>
      <c r="F31" s="63"/>
      <c r="G31" s="63"/>
      <c r="H31" s="63"/>
      <c r="I31" s="84"/>
      <c r="J31" s="1386" t="s">
        <v>12</v>
      </c>
      <c r="K31" s="1386"/>
      <c r="L31" s="55"/>
    </row>
    <row r="32" spans="1:12" ht="15.75" customHeight="1" x14ac:dyDescent="0.2">
      <c r="A32" s="1124" t="s">
        <v>13</v>
      </c>
      <c r="B32" s="1124"/>
      <c r="C32" s="1124"/>
      <c r="D32" s="1124"/>
      <c r="E32" s="1124"/>
      <c r="F32" s="1124"/>
      <c r="G32" s="1124"/>
      <c r="H32" s="1124"/>
      <c r="I32" s="1124"/>
      <c r="J32" s="1124"/>
      <c r="K32" s="1124"/>
      <c r="L32" s="1124"/>
    </row>
    <row r="33" spans="1:12" ht="15.75" customHeight="1" x14ac:dyDescent="0.2">
      <c r="A33" s="1124" t="s">
        <v>14</v>
      </c>
      <c r="B33" s="1124"/>
      <c r="C33" s="1124"/>
      <c r="D33" s="1124"/>
      <c r="E33" s="1124"/>
      <c r="F33" s="1124"/>
      <c r="G33" s="1124"/>
      <c r="H33" s="1124"/>
      <c r="I33" s="1124"/>
      <c r="J33" s="1124"/>
      <c r="K33" s="1124"/>
      <c r="L33" s="1124"/>
    </row>
    <row r="34" spans="1:12" ht="15.75" customHeight="1" x14ac:dyDescent="0.25">
      <c r="A34" s="55"/>
      <c r="B34" s="55"/>
      <c r="C34" s="55"/>
      <c r="D34" s="55"/>
      <c r="E34" s="55"/>
      <c r="F34" s="55"/>
      <c r="J34" s="69" t="s">
        <v>84</v>
      </c>
      <c r="K34" s="24"/>
      <c r="L34" s="24"/>
    </row>
  </sheetData>
  <mergeCells count="19">
    <mergeCell ref="A6:C6"/>
    <mergeCell ref="C8:C9"/>
    <mergeCell ref="A4:L4"/>
    <mergeCell ref="E8:F8"/>
    <mergeCell ref="K1:L1"/>
    <mergeCell ref="K7:L7"/>
    <mergeCell ref="G8:H8"/>
    <mergeCell ref="A3:L3"/>
    <mergeCell ref="A2:L2"/>
    <mergeCell ref="A8:A9"/>
    <mergeCell ref="B8:B9"/>
    <mergeCell ref="I8:J8"/>
    <mergeCell ref="A33:L33"/>
    <mergeCell ref="J31:K31"/>
    <mergeCell ref="I29:L29"/>
    <mergeCell ref="A29:H29"/>
    <mergeCell ref="K8:L8"/>
    <mergeCell ref="D8:D9"/>
    <mergeCell ref="A32:L32"/>
  </mergeCells>
  <printOptions horizontalCentered="1"/>
  <pageMargins left="0.53" right="0.35" top="0.23622047244094491" bottom="0" header="0.31496062992125984" footer="0.31496062992125984"/>
  <pageSetup paperSize="9" scale="71" orientation="landscape" r:id="rId1"/>
  <colBreaks count="1" manualBreakCount="1">
    <brk id="12" max="37"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5" tint="0.39997558519241921"/>
    <pageSetUpPr fitToPage="1"/>
  </sheetPr>
  <dimension ref="A2:H34"/>
  <sheetViews>
    <sheetView view="pageBreakPreview" topLeftCell="A14" zoomScale="91" zoomScaleSheetLayoutView="91" workbookViewId="0">
      <selection activeCell="C11" sqref="C11:F11"/>
    </sheetView>
  </sheetViews>
  <sheetFormatPr defaultColWidth="8.85546875" defaultRowHeight="12.75" x14ac:dyDescent="0.2"/>
  <cols>
    <col min="1" max="1" width="7.85546875" style="55" customWidth="1"/>
    <col min="2" max="2" width="25.85546875" style="55" customWidth="1"/>
    <col min="3" max="3" width="21.7109375" style="55" customWidth="1"/>
    <col min="4" max="4" width="23.85546875" style="55" customWidth="1"/>
    <col min="5" max="5" width="24.42578125" style="55" customWidth="1"/>
    <col min="6" max="6" width="27" style="55" customWidth="1"/>
    <col min="7" max="16384" width="8.85546875" style="55"/>
  </cols>
  <sheetData>
    <row r="2" spans="1:8" ht="16.5" customHeight="1" x14ac:dyDescent="0.2">
      <c r="D2" s="56"/>
      <c r="E2" s="56"/>
      <c r="F2" s="294" t="s">
        <v>104</v>
      </c>
    </row>
    <row r="3" spans="1:8" ht="15" customHeight="1" x14ac:dyDescent="0.25">
      <c r="A3" s="1119" t="s">
        <v>0</v>
      </c>
      <c r="B3" s="1119"/>
      <c r="C3" s="1119"/>
      <c r="D3" s="1119"/>
      <c r="E3" s="1119"/>
      <c r="F3" s="1119"/>
    </row>
    <row r="4" spans="1:8" ht="15.75" x14ac:dyDescent="0.25">
      <c r="A4" s="1119" t="s">
        <v>788</v>
      </c>
      <c r="B4" s="1119"/>
      <c r="C4" s="1119"/>
      <c r="D4" s="1119"/>
      <c r="E4" s="1119"/>
      <c r="F4" s="1119"/>
    </row>
    <row r="5" spans="1:8" s="185" customFormat="1" ht="39" customHeight="1" x14ac:dyDescent="0.25">
      <c r="A5" s="1393" t="s">
        <v>515</v>
      </c>
      <c r="B5" s="1393"/>
      <c r="C5" s="1393"/>
      <c r="D5" s="1393"/>
      <c r="E5" s="1393"/>
      <c r="F5" s="1393"/>
    </row>
    <row r="6" spans="1:8" ht="18" customHeight="1" x14ac:dyDescent="0.2">
      <c r="A6" s="1075" t="s">
        <v>456</v>
      </c>
      <c r="B6" s="1075"/>
      <c r="C6" s="1075"/>
    </row>
    <row r="7" spans="1:8" ht="18" hidden="1" customHeight="1" x14ac:dyDescent="0.25">
      <c r="A7" s="59" t="s">
        <v>1</v>
      </c>
    </row>
    <row r="8" spans="1:8" ht="30.6" customHeight="1" x14ac:dyDescent="0.2">
      <c r="A8" s="1395" t="s">
        <v>2</v>
      </c>
      <c r="B8" s="1395" t="s">
        <v>3</v>
      </c>
      <c r="C8" s="1397" t="s">
        <v>516</v>
      </c>
      <c r="D8" s="1398"/>
      <c r="E8" s="1399" t="s">
        <v>519</v>
      </c>
      <c r="F8" s="1399"/>
    </row>
    <row r="9" spans="1:8" s="64" customFormat="1" ht="25.5" x14ac:dyDescent="0.2">
      <c r="A9" s="1396"/>
      <c r="B9" s="1396"/>
      <c r="C9" s="293" t="s">
        <v>517</v>
      </c>
      <c r="D9" s="293" t="s">
        <v>518</v>
      </c>
      <c r="E9" s="293" t="s">
        <v>517</v>
      </c>
      <c r="F9" s="293" t="s">
        <v>518</v>
      </c>
      <c r="G9" s="76"/>
      <c r="H9" s="76"/>
    </row>
    <row r="10" spans="1:8" s="96" customFormat="1" x14ac:dyDescent="0.2">
      <c r="A10" s="262">
        <v>1</v>
      </c>
      <c r="B10" s="262">
        <v>2</v>
      </c>
      <c r="C10" s="262">
        <v>3</v>
      </c>
      <c r="D10" s="262">
        <v>4</v>
      </c>
      <c r="E10" s="262">
        <v>5</v>
      </c>
      <c r="F10" s="262">
        <v>6</v>
      </c>
    </row>
    <row r="11" spans="1:8" ht="24.95" customHeight="1" x14ac:dyDescent="0.2">
      <c r="A11" s="188">
        <v>1</v>
      </c>
      <c r="B11" s="219" t="s">
        <v>386</v>
      </c>
      <c r="C11" s="264">
        <v>1312</v>
      </c>
      <c r="D11" s="263">
        <f>C11</f>
        <v>1312</v>
      </c>
      <c r="E11" s="264">
        <v>485</v>
      </c>
      <c r="F11" s="263">
        <f>E11</f>
        <v>485</v>
      </c>
    </row>
    <row r="12" spans="1:8" ht="24.95" customHeight="1" x14ac:dyDescent="0.2">
      <c r="A12" s="188">
        <v>2</v>
      </c>
      <c r="B12" s="219" t="s">
        <v>387</v>
      </c>
      <c r="C12" s="264">
        <v>573</v>
      </c>
      <c r="D12" s="263">
        <f t="shared" ref="D12:D23" si="0">C12</f>
        <v>573</v>
      </c>
      <c r="E12" s="264">
        <v>223</v>
      </c>
      <c r="F12" s="263">
        <f t="shared" ref="F12:F23" si="1">E12</f>
        <v>223</v>
      </c>
    </row>
    <row r="13" spans="1:8" ht="24.95" customHeight="1" x14ac:dyDescent="0.2">
      <c r="A13" s="188">
        <v>3</v>
      </c>
      <c r="B13" s="219" t="s">
        <v>388</v>
      </c>
      <c r="C13" s="264">
        <v>979</v>
      </c>
      <c r="D13" s="263">
        <f t="shared" si="0"/>
        <v>979</v>
      </c>
      <c r="E13" s="264">
        <v>427</v>
      </c>
      <c r="F13" s="263">
        <f t="shared" si="1"/>
        <v>427</v>
      </c>
    </row>
    <row r="14" spans="1:8" ht="24.95" customHeight="1" x14ac:dyDescent="0.2">
      <c r="A14" s="188">
        <v>4</v>
      </c>
      <c r="B14" s="219" t="s">
        <v>389</v>
      </c>
      <c r="C14" s="264">
        <v>489</v>
      </c>
      <c r="D14" s="263">
        <f t="shared" si="0"/>
        <v>489</v>
      </c>
      <c r="E14" s="264">
        <v>199</v>
      </c>
      <c r="F14" s="263">
        <f t="shared" si="1"/>
        <v>199</v>
      </c>
    </row>
    <row r="15" spans="1:8" ht="24.95" customHeight="1" x14ac:dyDescent="0.2">
      <c r="A15" s="188">
        <v>5</v>
      </c>
      <c r="B15" s="221" t="s">
        <v>390</v>
      </c>
      <c r="C15" s="264">
        <v>968</v>
      </c>
      <c r="D15" s="263">
        <f t="shared" si="0"/>
        <v>968</v>
      </c>
      <c r="E15" s="264">
        <v>475</v>
      </c>
      <c r="F15" s="263">
        <f t="shared" si="1"/>
        <v>475</v>
      </c>
    </row>
    <row r="16" spans="1:8" ht="24.95" customHeight="1" x14ac:dyDescent="0.2">
      <c r="A16" s="188">
        <v>6</v>
      </c>
      <c r="B16" s="219" t="s">
        <v>391</v>
      </c>
      <c r="C16" s="264">
        <v>747</v>
      </c>
      <c r="D16" s="263">
        <f t="shared" si="0"/>
        <v>747</v>
      </c>
      <c r="E16" s="264">
        <v>335</v>
      </c>
      <c r="F16" s="263">
        <f t="shared" si="1"/>
        <v>335</v>
      </c>
    </row>
    <row r="17" spans="1:7" ht="24.95" customHeight="1" x14ac:dyDescent="0.2">
      <c r="A17" s="188">
        <v>7</v>
      </c>
      <c r="B17" s="221" t="s">
        <v>392</v>
      </c>
      <c r="C17" s="264">
        <v>957</v>
      </c>
      <c r="D17" s="263">
        <f t="shared" si="0"/>
        <v>957</v>
      </c>
      <c r="E17" s="264">
        <v>449</v>
      </c>
      <c r="F17" s="263">
        <f t="shared" si="1"/>
        <v>449</v>
      </c>
    </row>
    <row r="18" spans="1:7" ht="24.95" customHeight="1" x14ac:dyDescent="0.2">
      <c r="A18" s="188">
        <v>8</v>
      </c>
      <c r="B18" s="219" t="s">
        <v>393</v>
      </c>
      <c r="C18" s="264">
        <v>1484</v>
      </c>
      <c r="D18" s="263">
        <f t="shared" si="0"/>
        <v>1484</v>
      </c>
      <c r="E18" s="264">
        <v>662</v>
      </c>
      <c r="F18" s="263">
        <f t="shared" si="1"/>
        <v>662</v>
      </c>
    </row>
    <row r="19" spans="1:7" ht="24.95" customHeight="1" x14ac:dyDescent="0.2">
      <c r="A19" s="188">
        <v>9</v>
      </c>
      <c r="B19" s="219" t="s">
        <v>394</v>
      </c>
      <c r="C19" s="264">
        <v>1088</v>
      </c>
      <c r="D19" s="263">
        <f t="shared" si="0"/>
        <v>1088</v>
      </c>
      <c r="E19" s="264">
        <v>444</v>
      </c>
      <c r="F19" s="263">
        <f t="shared" si="1"/>
        <v>444</v>
      </c>
    </row>
    <row r="20" spans="1:7" ht="24.95" customHeight="1" x14ac:dyDescent="0.2">
      <c r="A20" s="188">
        <v>10</v>
      </c>
      <c r="B20" s="219" t="s">
        <v>395</v>
      </c>
      <c r="C20" s="264">
        <v>533</v>
      </c>
      <c r="D20" s="263">
        <f t="shared" si="0"/>
        <v>533</v>
      </c>
      <c r="E20" s="264">
        <v>264</v>
      </c>
      <c r="F20" s="263">
        <f t="shared" si="1"/>
        <v>264</v>
      </c>
    </row>
    <row r="21" spans="1:7" ht="24.95" customHeight="1" x14ac:dyDescent="0.2">
      <c r="A21" s="188">
        <v>11</v>
      </c>
      <c r="B21" s="219" t="s">
        <v>396</v>
      </c>
      <c r="C21" s="264">
        <v>1330</v>
      </c>
      <c r="D21" s="263">
        <f t="shared" si="0"/>
        <v>1330</v>
      </c>
      <c r="E21" s="264">
        <v>591</v>
      </c>
      <c r="F21" s="263">
        <f t="shared" si="1"/>
        <v>591</v>
      </c>
    </row>
    <row r="22" spans="1:7" ht="24.95" customHeight="1" x14ac:dyDescent="0.2">
      <c r="A22" s="188">
        <v>12</v>
      </c>
      <c r="B22" s="219" t="s">
        <v>397</v>
      </c>
      <c r="C22" s="264">
        <v>857</v>
      </c>
      <c r="D22" s="263">
        <f t="shared" si="0"/>
        <v>857</v>
      </c>
      <c r="E22" s="264">
        <v>419</v>
      </c>
      <c r="F22" s="263">
        <f t="shared" si="1"/>
        <v>419</v>
      </c>
    </row>
    <row r="23" spans="1:7" ht="24.95" customHeight="1" x14ac:dyDescent="0.2">
      <c r="A23" s="188">
        <v>13</v>
      </c>
      <c r="B23" s="219" t="s">
        <v>398</v>
      </c>
      <c r="C23" s="264">
        <v>728</v>
      </c>
      <c r="D23" s="263">
        <f t="shared" si="0"/>
        <v>728</v>
      </c>
      <c r="E23" s="264">
        <v>326</v>
      </c>
      <c r="F23" s="263">
        <f t="shared" si="1"/>
        <v>326</v>
      </c>
    </row>
    <row r="24" spans="1:7" s="64" customFormat="1" ht="24.95" customHeight="1" x14ac:dyDescent="0.2">
      <c r="A24" s="227" t="s">
        <v>18</v>
      </c>
      <c r="B24" s="227"/>
      <c r="C24" s="227">
        <f>SUM(C11:C23)</f>
        <v>12045</v>
      </c>
      <c r="D24" s="227">
        <f>SUM(D11:D23)</f>
        <v>12045</v>
      </c>
      <c r="E24" s="227">
        <f>SUM(E11:E23)</f>
        <v>5299</v>
      </c>
      <c r="F24" s="227">
        <f>SUM(F11:F23)</f>
        <v>5299</v>
      </c>
      <c r="G24" s="76"/>
    </row>
    <row r="25" spans="1:7" x14ac:dyDescent="0.2">
      <c r="A25" s="61"/>
      <c r="B25" s="62"/>
      <c r="C25" s="62"/>
      <c r="D25" s="62"/>
      <c r="E25" s="62"/>
      <c r="F25" s="62"/>
    </row>
    <row r="26" spans="1:7" x14ac:dyDescent="0.2">
      <c r="A26" s="60" t="s">
        <v>7</v>
      </c>
    </row>
    <row r="27" spans="1:7" x14ac:dyDescent="0.2">
      <c r="A27" s="55" t="s">
        <v>8</v>
      </c>
    </row>
    <row r="28" spans="1:7" x14ac:dyDescent="0.2">
      <c r="A28" s="55" t="s">
        <v>9</v>
      </c>
    </row>
    <row r="29" spans="1:7" x14ac:dyDescent="0.2">
      <c r="C29" s="55" t="s">
        <v>10</v>
      </c>
    </row>
    <row r="30" spans="1:7" ht="15.75" customHeight="1" x14ac:dyDescent="0.25">
      <c r="A30" s="141" t="s">
        <v>11</v>
      </c>
      <c r="B30" s="63"/>
      <c r="C30" s="11"/>
      <c r="D30" s="11"/>
      <c r="F30" s="493" t="s">
        <v>12</v>
      </c>
    </row>
    <row r="31" spans="1:7" ht="15.6" customHeight="1" x14ac:dyDescent="0.2">
      <c r="B31" s="84"/>
      <c r="C31" s="24"/>
      <c r="E31" s="1037" t="s">
        <v>13</v>
      </c>
      <c r="F31" s="1037"/>
    </row>
    <row r="32" spans="1:7" ht="15.75" customHeight="1" x14ac:dyDescent="0.2">
      <c r="B32" s="84"/>
      <c r="D32" s="24"/>
      <c r="E32" s="1037" t="s">
        <v>87</v>
      </c>
      <c r="F32" s="1037"/>
    </row>
    <row r="33" spans="1:6" x14ac:dyDescent="0.2">
      <c r="C33" s="11"/>
      <c r="D33" s="11"/>
      <c r="E33" s="1" t="s">
        <v>84</v>
      </c>
      <c r="F33" s="11"/>
    </row>
    <row r="34" spans="1:6" x14ac:dyDescent="0.2">
      <c r="A34" s="1394"/>
      <c r="B34" s="1394"/>
      <c r="C34" s="1394"/>
      <c r="D34" s="1394"/>
      <c r="E34" s="1394"/>
      <c r="F34" s="1394"/>
    </row>
  </sheetData>
  <mergeCells count="11">
    <mergeCell ref="A34:F34"/>
    <mergeCell ref="A8:A9"/>
    <mergeCell ref="B8:B9"/>
    <mergeCell ref="C8:D8"/>
    <mergeCell ref="E8:F8"/>
    <mergeCell ref="A6:C6"/>
    <mergeCell ref="E31:F31"/>
    <mergeCell ref="E32:F32"/>
    <mergeCell ref="A5:F5"/>
    <mergeCell ref="A3:F3"/>
    <mergeCell ref="A4:F4"/>
  </mergeCells>
  <phoneticPr fontId="0" type="noConversion"/>
  <printOptions horizontalCentered="1"/>
  <pageMargins left="0.70866141732283505" right="0.70866141732283505" top="0.23622047244094499" bottom="0" header="0.41" footer="0.22"/>
  <pageSetup paperSize="9" scale="88"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5" tint="0.39997558519241921"/>
    <pageSetUpPr fitToPage="1"/>
  </sheetPr>
  <dimension ref="A1:W37"/>
  <sheetViews>
    <sheetView view="pageBreakPreview" topLeftCell="A10" zoomScale="120" zoomScaleNormal="85" zoomScaleSheetLayoutView="120" workbookViewId="0">
      <selection activeCell="C19" sqref="C19:I19"/>
    </sheetView>
  </sheetViews>
  <sheetFormatPr defaultRowHeight="12.75" x14ac:dyDescent="0.2"/>
  <cols>
    <col min="2" max="2" width="13.140625" customWidth="1"/>
    <col min="3" max="3" width="16.42578125" customWidth="1"/>
    <col min="4" max="4" width="10.85546875" customWidth="1"/>
    <col min="5" max="5" width="13.7109375" customWidth="1"/>
    <col min="6" max="6" width="14.28515625" customWidth="1"/>
    <col min="7" max="7" width="11.42578125" customWidth="1"/>
    <col min="8" max="8" width="12.28515625" customWidth="1"/>
    <col min="9" max="9" width="16.28515625" customWidth="1"/>
    <col min="10" max="10" width="19.28515625" customWidth="1"/>
  </cols>
  <sheetData>
    <row r="1" spans="1:23" ht="15" x14ac:dyDescent="0.2">
      <c r="A1" s="55"/>
      <c r="B1" s="55"/>
      <c r="C1" s="55"/>
      <c r="D1" s="1237"/>
      <c r="E1" s="1237"/>
      <c r="F1" s="31"/>
      <c r="G1" s="1158" t="s">
        <v>466</v>
      </c>
      <c r="H1" s="1158"/>
      <c r="I1" s="1158"/>
      <c r="J1" s="1158"/>
      <c r="K1" s="65"/>
      <c r="L1" s="55"/>
      <c r="M1" s="55"/>
    </row>
    <row r="2" spans="1:23" ht="15.75" x14ac:dyDescent="0.25">
      <c r="A2" s="1119" t="s">
        <v>0</v>
      </c>
      <c r="B2" s="1119"/>
      <c r="C2" s="1119"/>
      <c r="D2" s="1119"/>
      <c r="E2" s="1119"/>
      <c r="F2" s="1119"/>
      <c r="G2" s="1119"/>
      <c r="H2" s="1119"/>
      <c r="I2" s="1119"/>
      <c r="J2" s="1119"/>
      <c r="K2" s="55"/>
      <c r="L2" s="55"/>
      <c r="M2" s="55"/>
    </row>
    <row r="3" spans="1:23" ht="15.75" x14ac:dyDescent="0.25">
      <c r="A3" s="1404" t="s">
        <v>788</v>
      </c>
      <c r="B3" s="1404"/>
      <c r="C3" s="1404"/>
      <c r="D3" s="1404"/>
      <c r="E3" s="1404"/>
      <c r="F3" s="1404"/>
      <c r="G3" s="1404"/>
      <c r="H3" s="1404"/>
      <c r="I3" s="1404"/>
      <c r="J3" s="1404"/>
      <c r="K3" s="509"/>
      <c r="L3" s="509"/>
      <c r="M3" s="509"/>
      <c r="N3" s="509"/>
      <c r="O3" s="509"/>
      <c r="P3" s="509"/>
      <c r="Q3" s="509"/>
      <c r="R3" s="509"/>
      <c r="S3" s="509"/>
      <c r="T3" s="509"/>
      <c r="U3" s="509"/>
      <c r="V3" s="509"/>
      <c r="W3" s="509"/>
    </row>
    <row r="4" spans="1:23" s="186" customFormat="1" ht="18" x14ac:dyDescent="0.25">
      <c r="A4" s="1402" t="s">
        <v>520</v>
      </c>
      <c r="B4" s="1402"/>
      <c r="C4" s="1402"/>
      <c r="D4" s="1402"/>
      <c r="E4" s="1402"/>
      <c r="F4" s="1402"/>
      <c r="G4" s="1402"/>
      <c r="H4" s="1402"/>
      <c r="I4" s="1402"/>
      <c r="J4" s="1402"/>
      <c r="K4" s="185"/>
      <c r="L4" s="185"/>
      <c r="M4" s="185"/>
    </row>
    <row r="5" spans="1:23" ht="15.75" x14ac:dyDescent="0.25">
      <c r="A5" s="1075" t="s">
        <v>456</v>
      </c>
      <c r="B5" s="1075"/>
      <c r="C5" s="1075"/>
      <c r="D5" s="58"/>
      <c r="E5" s="58"/>
      <c r="F5" s="58"/>
      <c r="G5" s="58"/>
      <c r="H5" s="58"/>
      <c r="I5" s="58"/>
      <c r="J5" s="58"/>
      <c r="K5" s="55"/>
      <c r="L5" s="55"/>
      <c r="M5" s="55"/>
    </row>
    <row r="6" spans="1:23" x14ac:dyDescent="0.2">
      <c r="A6" s="55"/>
      <c r="B6" s="55"/>
      <c r="C6" s="55"/>
      <c r="D6" s="55"/>
      <c r="E6" s="55"/>
      <c r="F6" s="55"/>
      <c r="G6" s="55"/>
      <c r="H6" s="55"/>
      <c r="I6" s="55"/>
      <c r="J6" s="55"/>
      <c r="K6" s="55"/>
      <c r="L6" s="55"/>
      <c r="M6" s="55"/>
    </row>
    <row r="7" spans="1:23" ht="18" x14ac:dyDescent="0.25">
      <c r="A7" s="59"/>
      <c r="B7" s="55"/>
      <c r="C7" s="55"/>
      <c r="D7" s="55"/>
      <c r="E7" s="55"/>
      <c r="F7" s="55"/>
      <c r="G7" s="55"/>
      <c r="H7" s="55"/>
      <c r="I7" s="55"/>
      <c r="J7" s="55"/>
      <c r="K7" s="55"/>
      <c r="L7" s="55"/>
      <c r="M7" s="55"/>
    </row>
    <row r="8" spans="1:23" ht="21.75" customHeight="1" x14ac:dyDescent="0.2">
      <c r="A8" s="1391" t="s">
        <v>2</v>
      </c>
      <c r="B8" s="1391" t="s">
        <v>3</v>
      </c>
      <c r="C8" s="1403" t="s">
        <v>153</v>
      </c>
      <c r="D8" s="1403"/>
      <c r="E8" s="1403"/>
      <c r="F8" s="1403"/>
      <c r="G8" s="1403"/>
      <c r="H8" s="1403"/>
      <c r="I8" s="1403"/>
      <c r="J8" s="1403"/>
      <c r="K8" s="55"/>
      <c r="L8" s="55"/>
      <c r="M8" s="55"/>
    </row>
    <row r="9" spans="1:23" ht="44.25" customHeight="1" x14ac:dyDescent="0.2">
      <c r="A9" s="1391"/>
      <c r="B9" s="1391"/>
      <c r="C9" s="261" t="s">
        <v>210</v>
      </c>
      <c r="D9" s="261" t="s">
        <v>129</v>
      </c>
      <c r="E9" s="572" t="s">
        <v>696</v>
      </c>
      <c r="F9" s="499" t="s">
        <v>179</v>
      </c>
      <c r="G9" s="499" t="s">
        <v>130</v>
      </c>
      <c r="H9" s="499" t="s">
        <v>209</v>
      </c>
      <c r="I9" s="499" t="s">
        <v>837</v>
      </c>
      <c r="J9" s="261" t="s">
        <v>18</v>
      </c>
      <c r="K9" s="64"/>
      <c r="L9" s="64"/>
      <c r="M9" s="64"/>
    </row>
    <row r="10" spans="1:23" s="11" customFormat="1" x14ac:dyDescent="0.2">
      <c r="A10" s="261">
        <v>1</v>
      </c>
      <c r="B10" s="261">
        <v>2</v>
      </c>
      <c r="C10" s="261">
        <v>3</v>
      </c>
      <c r="D10" s="261">
        <v>4</v>
      </c>
      <c r="E10" s="261">
        <v>5</v>
      </c>
      <c r="F10" s="261">
        <v>6</v>
      </c>
      <c r="G10" s="261">
        <v>7</v>
      </c>
      <c r="H10" s="261">
        <v>8</v>
      </c>
      <c r="I10" s="261">
        <v>9</v>
      </c>
      <c r="J10" s="261">
        <v>10</v>
      </c>
      <c r="K10" s="64"/>
      <c r="L10" s="64"/>
      <c r="M10" s="64"/>
    </row>
    <row r="11" spans="1:23" ht="20.25" customHeight="1" x14ac:dyDescent="0.2">
      <c r="A11" s="188">
        <v>1</v>
      </c>
      <c r="B11" s="219" t="s">
        <v>386</v>
      </c>
      <c r="C11" s="263">
        <v>0</v>
      </c>
      <c r="D11" s="263">
        <v>0</v>
      </c>
      <c r="E11" s="264">
        <v>1797</v>
      </c>
      <c r="F11" s="263">
        <v>0</v>
      </c>
      <c r="G11" s="263">
        <v>0</v>
      </c>
      <c r="H11" s="263">
        <v>0</v>
      </c>
      <c r="I11" s="263">
        <v>0</v>
      </c>
      <c r="J11" s="264">
        <f>E11</f>
        <v>1797</v>
      </c>
      <c r="K11" s="55"/>
      <c r="L11" s="55"/>
      <c r="M11" s="55"/>
    </row>
    <row r="12" spans="1:23" ht="20.25" customHeight="1" x14ac:dyDescent="0.2">
      <c r="A12" s="188">
        <v>2</v>
      </c>
      <c r="B12" s="219" t="s">
        <v>387</v>
      </c>
      <c r="C12" s="263">
        <v>0</v>
      </c>
      <c r="D12" s="263">
        <v>0</v>
      </c>
      <c r="E12" s="264">
        <v>796</v>
      </c>
      <c r="F12" s="263">
        <v>0</v>
      </c>
      <c r="G12" s="263">
        <v>0</v>
      </c>
      <c r="H12" s="263">
        <v>0</v>
      </c>
      <c r="I12" s="263">
        <v>0</v>
      </c>
      <c r="J12" s="264">
        <f t="shared" ref="J12:J23" si="0">E12</f>
        <v>796</v>
      </c>
      <c r="K12" s="55"/>
      <c r="L12" s="55"/>
      <c r="M12" s="55"/>
    </row>
    <row r="13" spans="1:23" ht="20.25" customHeight="1" x14ac:dyDescent="0.2">
      <c r="A13" s="188">
        <v>3</v>
      </c>
      <c r="B13" s="219" t="s">
        <v>388</v>
      </c>
      <c r="C13" s="263">
        <v>0</v>
      </c>
      <c r="D13" s="263">
        <v>0</v>
      </c>
      <c r="E13" s="264">
        <v>1406</v>
      </c>
      <c r="F13" s="263">
        <v>0</v>
      </c>
      <c r="G13" s="263">
        <v>0</v>
      </c>
      <c r="H13" s="263">
        <v>0</v>
      </c>
      <c r="I13" s="263">
        <v>0</v>
      </c>
      <c r="J13" s="264">
        <f t="shared" si="0"/>
        <v>1406</v>
      </c>
      <c r="K13" s="55"/>
      <c r="L13" s="55"/>
      <c r="M13" s="55"/>
    </row>
    <row r="14" spans="1:23" ht="20.25" customHeight="1" x14ac:dyDescent="0.2">
      <c r="A14" s="188">
        <v>4</v>
      </c>
      <c r="B14" s="219" t="s">
        <v>389</v>
      </c>
      <c r="C14" s="263">
        <v>0</v>
      </c>
      <c r="D14" s="263">
        <v>0</v>
      </c>
      <c r="E14" s="264">
        <v>688</v>
      </c>
      <c r="F14" s="263">
        <v>0</v>
      </c>
      <c r="G14" s="263">
        <v>0</v>
      </c>
      <c r="H14" s="263">
        <v>0</v>
      </c>
      <c r="I14" s="263">
        <v>0</v>
      </c>
      <c r="J14" s="264">
        <f t="shared" si="0"/>
        <v>688</v>
      </c>
      <c r="K14" s="55"/>
      <c r="L14" s="55"/>
      <c r="M14" s="55"/>
    </row>
    <row r="15" spans="1:23" ht="20.25" customHeight="1" x14ac:dyDescent="0.2">
      <c r="A15" s="188">
        <v>5</v>
      </c>
      <c r="B15" s="221" t="s">
        <v>390</v>
      </c>
      <c r="C15" s="263">
        <v>0</v>
      </c>
      <c r="D15" s="263">
        <v>0</v>
      </c>
      <c r="E15" s="264">
        <v>1443</v>
      </c>
      <c r="F15" s="263">
        <v>0</v>
      </c>
      <c r="G15" s="263">
        <v>0</v>
      </c>
      <c r="H15" s="263">
        <v>0</v>
      </c>
      <c r="I15" s="263">
        <v>0</v>
      </c>
      <c r="J15" s="264">
        <f t="shared" si="0"/>
        <v>1443</v>
      </c>
      <c r="K15" s="55"/>
      <c r="L15" s="55"/>
      <c r="M15" s="55"/>
    </row>
    <row r="16" spans="1:23" ht="20.25" customHeight="1" x14ac:dyDescent="0.2">
      <c r="A16" s="188">
        <v>6</v>
      </c>
      <c r="B16" s="219" t="s">
        <v>391</v>
      </c>
      <c r="C16" s="263">
        <v>0</v>
      </c>
      <c r="D16" s="263">
        <v>0</v>
      </c>
      <c r="E16" s="264">
        <v>1082</v>
      </c>
      <c r="F16" s="263">
        <v>0</v>
      </c>
      <c r="G16" s="263">
        <v>0</v>
      </c>
      <c r="H16" s="263">
        <v>0</v>
      </c>
      <c r="I16" s="263">
        <v>0</v>
      </c>
      <c r="J16" s="264">
        <f t="shared" si="0"/>
        <v>1082</v>
      </c>
      <c r="K16" s="55"/>
      <c r="L16" s="55"/>
      <c r="M16" s="55"/>
    </row>
    <row r="17" spans="1:13" ht="20.25" customHeight="1" x14ac:dyDescent="0.2">
      <c r="A17" s="188">
        <v>7</v>
      </c>
      <c r="B17" s="221" t="s">
        <v>392</v>
      </c>
      <c r="C17" s="263">
        <v>0</v>
      </c>
      <c r="D17" s="263">
        <v>0</v>
      </c>
      <c r="E17" s="264">
        <v>1406</v>
      </c>
      <c r="F17" s="263">
        <v>0</v>
      </c>
      <c r="G17" s="263">
        <v>0</v>
      </c>
      <c r="H17" s="263">
        <v>0</v>
      </c>
      <c r="I17" s="263">
        <v>0</v>
      </c>
      <c r="J17" s="264">
        <f t="shared" si="0"/>
        <v>1406</v>
      </c>
      <c r="K17" s="55"/>
      <c r="L17" s="55"/>
      <c r="M17" s="55"/>
    </row>
    <row r="18" spans="1:13" ht="20.25" customHeight="1" x14ac:dyDescent="0.2">
      <c r="A18" s="188">
        <v>8</v>
      </c>
      <c r="B18" s="219" t="s">
        <v>393</v>
      </c>
      <c r="C18" s="263">
        <v>0</v>
      </c>
      <c r="D18" s="263">
        <v>0</v>
      </c>
      <c r="E18" s="264">
        <v>2146</v>
      </c>
      <c r="F18" s="263">
        <v>0</v>
      </c>
      <c r="G18" s="263">
        <v>0</v>
      </c>
      <c r="H18" s="263">
        <v>0</v>
      </c>
      <c r="I18" s="263">
        <v>0</v>
      </c>
      <c r="J18" s="264">
        <f t="shared" si="0"/>
        <v>2146</v>
      </c>
      <c r="K18" s="55"/>
      <c r="L18" s="55"/>
      <c r="M18" s="55"/>
    </row>
    <row r="19" spans="1:13" ht="20.25" customHeight="1" x14ac:dyDescent="0.2">
      <c r="A19" s="188">
        <v>9</v>
      </c>
      <c r="B19" s="219" t="s">
        <v>394</v>
      </c>
      <c r="C19" s="263">
        <v>0</v>
      </c>
      <c r="D19" s="263">
        <v>0</v>
      </c>
      <c r="E19" s="264">
        <v>1532</v>
      </c>
      <c r="F19" s="263">
        <v>0</v>
      </c>
      <c r="G19" s="263">
        <v>0</v>
      </c>
      <c r="H19" s="263">
        <v>0</v>
      </c>
      <c r="I19" s="263">
        <v>0</v>
      </c>
      <c r="J19" s="264">
        <f t="shared" si="0"/>
        <v>1532</v>
      </c>
      <c r="K19" s="55"/>
      <c r="L19" s="55"/>
      <c r="M19" s="55"/>
    </row>
    <row r="20" spans="1:13" ht="20.25" customHeight="1" x14ac:dyDescent="0.2">
      <c r="A20" s="188">
        <v>10</v>
      </c>
      <c r="B20" s="219" t="s">
        <v>395</v>
      </c>
      <c r="C20" s="263">
        <v>0</v>
      </c>
      <c r="D20" s="263">
        <v>0</v>
      </c>
      <c r="E20" s="264">
        <v>797</v>
      </c>
      <c r="F20" s="263">
        <v>0</v>
      </c>
      <c r="G20" s="263">
        <v>0</v>
      </c>
      <c r="H20" s="263">
        <v>0</v>
      </c>
      <c r="I20" s="263">
        <v>0</v>
      </c>
      <c r="J20" s="264">
        <f t="shared" si="0"/>
        <v>797</v>
      </c>
      <c r="K20" s="55"/>
      <c r="L20" s="55"/>
      <c r="M20" s="55"/>
    </row>
    <row r="21" spans="1:13" ht="20.25" customHeight="1" x14ac:dyDescent="0.2">
      <c r="A21" s="188">
        <v>11</v>
      </c>
      <c r="B21" s="219" t="s">
        <v>396</v>
      </c>
      <c r="C21" s="263">
        <v>0</v>
      </c>
      <c r="D21" s="263">
        <v>0</v>
      </c>
      <c r="E21" s="264">
        <v>1921</v>
      </c>
      <c r="F21" s="263">
        <v>0</v>
      </c>
      <c r="G21" s="263">
        <v>0</v>
      </c>
      <c r="H21" s="263">
        <v>0</v>
      </c>
      <c r="I21" s="263">
        <v>0</v>
      </c>
      <c r="J21" s="264">
        <f t="shared" si="0"/>
        <v>1921</v>
      </c>
      <c r="K21" s="55"/>
      <c r="L21" s="55"/>
      <c r="M21" s="55"/>
    </row>
    <row r="22" spans="1:13" ht="20.25" customHeight="1" x14ac:dyDescent="0.2">
      <c r="A22" s="188">
        <v>12</v>
      </c>
      <c r="B22" s="219" t="s">
        <v>397</v>
      </c>
      <c r="C22" s="263">
        <v>0</v>
      </c>
      <c r="D22" s="263">
        <v>0</v>
      </c>
      <c r="E22" s="264">
        <v>1276</v>
      </c>
      <c r="F22" s="263">
        <v>0</v>
      </c>
      <c r="G22" s="263">
        <v>0</v>
      </c>
      <c r="H22" s="263">
        <v>0</v>
      </c>
      <c r="I22" s="263">
        <v>0</v>
      </c>
      <c r="J22" s="264">
        <f t="shared" si="0"/>
        <v>1276</v>
      </c>
      <c r="K22" s="55"/>
      <c r="L22" s="55"/>
      <c r="M22" s="55"/>
    </row>
    <row r="23" spans="1:13" ht="20.25" customHeight="1" x14ac:dyDescent="0.2">
      <c r="A23" s="188">
        <v>13</v>
      </c>
      <c r="B23" s="219" t="s">
        <v>398</v>
      </c>
      <c r="C23" s="263">
        <v>0</v>
      </c>
      <c r="D23" s="263">
        <v>0</v>
      </c>
      <c r="E23" s="264">
        <v>1054</v>
      </c>
      <c r="F23" s="263">
        <v>0</v>
      </c>
      <c r="G23" s="263">
        <v>0</v>
      </c>
      <c r="H23" s="263">
        <v>0</v>
      </c>
      <c r="I23" s="263">
        <v>0</v>
      </c>
      <c r="J23" s="264">
        <f t="shared" si="0"/>
        <v>1054</v>
      </c>
      <c r="K23" s="55"/>
      <c r="L23" s="55"/>
      <c r="M23" s="55"/>
    </row>
    <row r="24" spans="1:13" s="11" customFormat="1" ht="20.25" customHeight="1" x14ac:dyDescent="0.2">
      <c r="A24" s="227" t="s">
        <v>18</v>
      </c>
      <c r="B24" s="227"/>
      <c r="C24" s="227">
        <f t="shared" ref="C24:D24" si="1">SUM(C11:C23)</f>
        <v>0</v>
      </c>
      <c r="D24" s="227">
        <f t="shared" si="1"/>
        <v>0</v>
      </c>
      <c r="E24" s="227">
        <f>SUM(E11:E23)</f>
        <v>17344</v>
      </c>
      <c r="F24" s="227">
        <f t="shared" ref="F24:I24" si="2">SUM(F11:F23)</f>
        <v>0</v>
      </c>
      <c r="G24" s="227">
        <f t="shared" si="2"/>
        <v>0</v>
      </c>
      <c r="H24" s="227">
        <f t="shared" si="2"/>
        <v>0</v>
      </c>
      <c r="I24" s="227">
        <f t="shared" si="2"/>
        <v>0</v>
      </c>
      <c r="J24" s="227">
        <f>SUM(J11:J23)</f>
        <v>17344</v>
      </c>
      <c r="K24" s="64"/>
      <c r="L24" s="64"/>
      <c r="M24" s="64"/>
    </row>
    <row r="25" spans="1:13" x14ac:dyDescent="0.2">
      <c r="A25" s="497"/>
      <c r="B25" s="497"/>
      <c r="C25" s="497"/>
      <c r="D25" s="497"/>
      <c r="E25" s="55"/>
      <c r="F25" s="55"/>
      <c r="G25" s="55"/>
      <c r="H25" s="55"/>
      <c r="I25" s="55"/>
      <c r="J25" s="55"/>
      <c r="K25" s="55"/>
      <c r="L25" s="55"/>
      <c r="M25" s="55"/>
    </row>
    <row r="26" spans="1:13" x14ac:dyDescent="0.2">
      <c r="A26" s="497" t="s">
        <v>131</v>
      </c>
      <c r="B26" s="497"/>
      <c r="C26" s="497"/>
      <c r="D26" s="497"/>
      <c r="E26" s="55"/>
      <c r="F26" s="55"/>
      <c r="G26" s="55"/>
      <c r="H26" s="55"/>
      <c r="I26" s="55"/>
      <c r="J26" s="55"/>
      <c r="K26" s="55"/>
      <c r="L26" s="55"/>
      <c r="M26" s="55"/>
    </row>
    <row r="27" spans="1:13" x14ac:dyDescent="0.2">
      <c r="A27" s="497" t="s">
        <v>211</v>
      </c>
      <c r="B27" s="497"/>
      <c r="C27" s="497"/>
      <c r="D27" s="497"/>
      <c r="E27" s="55"/>
      <c r="F27" s="55"/>
      <c r="G27" s="55"/>
      <c r="H27" s="55"/>
      <c r="I27" s="55"/>
      <c r="J27" s="55"/>
      <c r="K27" s="55"/>
      <c r="L27" s="55"/>
      <c r="M27" s="55"/>
    </row>
    <row r="28" spans="1:13" x14ac:dyDescent="0.2">
      <c r="A28" s="451" t="s">
        <v>132</v>
      </c>
      <c r="B28" s="451"/>
      <c r="C28" s="451"/>
      <c r="D28" s="451"/>
    </row>
    <row r="29" spans="1:13" x14ac:dyDescent="0.2">
      <c r="A29" s="1406" t="s">
        <v>133</v>
      </c>
      <c r="B29" s="1406"/>
      <c r="C29" s="1406"/>
      <c r="D29" s="1406"/>
      <c r="E29" s="1164"/>
      <c r="F29" s="1164"/>
      <c r="G29" s="1164"/>
      <c r="H29" s="1164"/>
      <c r="I29" s="1164"/>
      <c r="J29" s="1164"/>
      <c r="K29" s="1164"/>
      <c r="L29" s="1164"/>
      <c r="M29" s="1164"/>
    </row>
    <row r="30" spans="1:13" x14ac:dyDescent="0.2">
      <c r="A30" s="1400" t="s">
        <v>134</v>
      </c>
      <c r="B30" s="1400"/>
      <c r="C30" s="1400"/>
      <c r="D30" s="1400"/>
      <c r="E30" s="55"/>
      <c r="F30" s="55"/>
      <c r="G30" s="55"/>
      <c r="H30" s="55"/>
      <c r="I30" s="55"/>
      <c r="J30" s="55"/>
      <c r="K30" s="55"/>
      <c r="L30" s="55"/>
      <c r="M30" s="55"/>
    </row>
    <row r="31" spans="1:13" x14ac:dyDescent="0.2">
      <c r="A31" s="498" t="s">
        <v>180</v>
      </c>
      <c r="B31" s="498"/>
      <c r="C31" s="498"/>
      <c r="D31" s="498"/>
      <c r="E31" s="55"/>
      <c r="F31" s="55"/>
      <c r="G31" s="55"/>
      <c r="H31" s="55"/>
      <c r="I31" s="55"/>
      <c r="J31" s="55"/>
      <c r="K31" s="55"/>
      <c r="L31" s="55"/>
      <c r="M31" s="55"/>
    </row>
    <row r="32" spans="1:13" x14ac:dyDescent="0.2">
      <c r="A32" s="83"/>
      <c r="B32" s="83"/>
      <c r="C32" s="83"/>
      <c r="D32" s="83"/>
      <c r="E32" s="55"/>
      <c r="F32" s="55"/>
      <c r="G32" s="55"/>
      <c r="H32" s="55"/>
      <c r="I32" s="55"/>
      <c r="J32" s="55"/>
      <c r="K32" s="55"/>
      <c r="L32" s="55"/>
      <c r="M32" s="55"/>
    </row>
    <row r="33" spans="1:13" ht="15.75" x14ac:dyDescent="0.2">
      <c r="A33" s="495" t="s">
        <v>11</v>
      </c>
      <c r="B33" s="495"/>
      <c r="C33" s="495"/>
      <c r="D33" s="495"/>
      <c r="E33" s="495"/>
      <c r="F33" s="495"/>
      <c r="G33" s="495"/>
      <c r="H33" s="495"/>
      <c r="I33" s="495"/>
      <c r="J33" s="496" t="s">
        <v>12</v>
      </c>
      <c r="K33" s="84"/>
      <c r="L33" s="55"/>
      <c r="M33" s="55"/>
    </row>
    <row r="34" spans="1:13" x14ac:dyDescent="0.2">
      <c r="A34" s="1401" t="s">
        <v>13</v>
      </c>
      <c r="B34" s="1401"/>
      <c r="C34" s="1401"/>
      <c r="D34" s="1401"/>
      <c r="E34" s="1401"/>
      <c r="F34" s="1401"/>
      <c r="G34" s="1401"/>
      <c r="H34" s="1401"/>
      <c r="I34" s="1401"/>
      <c r="J34" s="1401"/>
      <c r="K34" s="55"/>
      <c r="L34" s="55"/>
      <c r="M34" s="55"/>
    </row>
    <row r="35" spans="1:13" ht="15.75" customHeight="1" x14ac:dyDescent="0.2">
      <c r="A35" s="1401" t="s">
        <v>14</v>
      </c>
      <c r="B35" s="1401"/>
      <c r="C35" s="1401"/>
      <c r="D35" s="1401"/>
      <c r="E35" s="1401"/>
      <c r="F35" s="1401"/>
      <c r="G35" s="1401"/>
      <c r="H35" s="1401"/>
      <c r="I35" s="1401"/>
      <c r="J35" s="1401"/>
      <c r="K35" s="84"/>
      <c r="L35" s="55"/>
      <c r="M35" s="55"/>
    </row>
    <row r="36" spans="1:13" x14ac:dyDescent="0.2">
      <c r="A36" s="495"/>
      <c r="B36" s="495"/>
      <c r="C36" s="495"/>
      <c r="D36" s="495"/>
      <c r="E36" s="495"/>
      <c r="F36" s="495"/>
      <c r="G36" s="1227" t="s">
        <v>84</v>
      </c>
      <c r="H36" s="1227"/>
      <c r="I36" s="1227"/>
      <c r="J36" s="1227"/>
      <c r="K36" s="24"/>
      <c r="L36" s="24"/>
      <c r="M36" s="55"/>
    </row>
    <row r="37" spans="1:13" x14ac:dyDescent="0.2">
      <c r="A37" s="1405"/>
      <c r="B37" s="1405"/>
      <c r="C37" s="1405"/>
      <c r="D37" s="1405"/>
      <c r="E37" s="1405"/>
      <c r="F37" s="1405"/>
      <c r="G37" s="1405"/>
      <c r="H37" s="1405"/>
      <c r="I37" s="1405"/>
      <c r="J37" s="1405"/>
      <c r="K37" s="55"/>
      <c r="L37" s="55"/>
      <c r="M37" s="55"/>
    </row>
  </sheetData>
  <mergeCells count="17">
    <mergeCell ref="G36:J36"/>
    <mergeCell ref="A37:J37"/>
    <mergeCell ref="A34:J34"/>
    <mergeCell ref="A29:D29"/>
    <mergeCell ref="E29:J29"/>
    <mergeCell ref="K29:M29"/>
    <mergeCell ref="A30:D30"/>
    <mergeCell ref="A35:J35"/>
    <mergeCell ref="D1:E1"/>
    <mergeCell ref="G1:J1"/>
    <mergeCell ref="A2:J2"/>
    <mergeCell ref="A4:J4"/>
    <mergeCell ref="A8:A9"/>
    <mergeCell ref="B8:B9"/>
    <mergeCell ref="C8:J8"/>
    <mergeCell ref="A5:C5"/>
    <mergeCell ref="A3:J3"/>
  </mergeCells>
  <phoneticPr fontId="0" type="noConversion"/>
  <printOptions horizontalCentered="1"/>
  <pageMargins left="0.70866141732283472" right="0.70866141732283472" top="0.27" bottom="0" header="0.45" footer="0.31496062992125984"/>
  <pageSetup paperSize="9" scale="9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5" tint="0.39997558519241921"/>
  </sheetPr>
  <dimension ref="A1:M34"/>
  <sheetViews>
    <sheetView view="pageBreakPreview" topLeftCell="C7" zoomScale="112" zoomScaleNormal="100" zoomScaleSheetLayoutView="112" workbookViewId="0">
      <selection activeCell="L26" sqref="L26"/>
    </sheetView>
  </sheetViews>
  <sheetFormatPr defaultColWidth="18.28515625" defaultRowHeight="12.75" x14ac:dyDescent="0.2"/>
  <cols>
    <col min="1" max="1" width="5.85546875" customWidth="1"/>
    <col min="2" max="2" width="15.28515625" customWidth="1"/>
    <col min="3" max="3" width="13.28515625" bestFit="1" customWidth="1"/>
    <col min="4" max="4" width="9.85546875" bestFit="1" customWidth="1"/>
    <col min="5" max="5" width="14.42578125" bestFit="1" customWidth="1"/>
    <col min="6" max="6" width="13.42578125" bestFit="1" customWidth="1"/>
    <col min="7" max="7" width="14.7109375" bestFit="1" customWidth="1"/>
    <col min="8" max="8" width="15.85546875" customWidth="1"/>
    <col min="9" max="9" width="14.42578125" bestFit="1" customWidth="1"/>
    <col min="10" max="10" width="13.7109375" bestFit="1" customWidth="1"/>
    <col min="11" max="11" width="14.7109375" bestFit="1" customWidth="1"/>
    <col min="12" max="12" width="15.85546875" bestFit="1" customWidth="1"/>
    <col min="13" max="13" width="14.42578125" bestFit="1" customWidth="1"/>
  </cols>
  <sheetData>
    <row r="1" spans="1:13" x14ac:dyDescent="0.2">
      <c r="A1" s="55"/>
      <c r="B1" s="55"/>
      <c r="C1" s="55"/>
      <c r="D1" s="55"/>
      <c r="E1" s="55"/>
      <c r="F1" s="55"/>
      <c r="G1" s="55"/>
      <c r="H1" s="55"/>
      <c r="I1" s="55"/>
      <c r="L1" s="1158" t="s">
        <v>688</v>
      </c>
      <c r="M1" s="1158"/>
    </row>
    <row r="2" spans="1:13" ht="15" x14ac:dyDescent="0.25">
      <c r="A2" s="1122" t="s">
        <v>0</v>
      </c>
      <c r="B2" s="1122"/>
      <c r="C2" s="1122"/>
      <c r="D2" s="1122"/>
      <c r="E2" s="1122"/>
      <c r="F2" s="1122"/>
      <c r="G2" s="1122"/>
      <c r="H2" s="1122"/>
      <c r="I2" s="1122"/>
      <c r="J2" s="1122"/>
      <c r="K2" s="1122"/>
      <c r="L2" s="1122"/>
      <c r="M2" s="1122"/>
    </row>
    <row r="3" spans="1:13" ht="15" x14ac:dyDescent="0.25">
      <c r="A3" s="1122" t="s">
        <v>788</v>
      </c>
      <c r="B3" s="1122"/>
      <c r="C3" s="1122"/>
      <c r="D3" s="1122"/>
      <c r="E3" s="1122"/>
      <c r="F3" s="1122"/>
      <c r="G3" s="1122"/>
      <c r="H3" s="1122"/>
      <c r="I3" s="1122"/>
      <c r="J3" s="1122"/>
      <c r="K3" s="1122"/>
      <c r="L3" s="1122"/>
      <c r="M3" s="1122"/>
    </row>
    <row r="4" spans="1:13" x14ac:dyDescent="0.2">
      <c r="A4" s="55"/>
      <c r="B4" s="55"/>
      <c r="C4" s="55"/>
      <c r="D4" s="55"/>
      <c r="E4" s="55"/>
      <c r="F4" s="55"/>
      <c r="G4" s="55"/>
      <c r="H4" s="55"/>
      <c r="I4" s="55"/>
      <c r="J4" s="55"/>
      <c r="K4" s="55"/>
    </row>
    <row r="5" spans="1:13" ht="15.75" x14ac:dyDescent="0.25">
      <c r="A5" s="1408" t="s">
        <v>683</v>
      </c>
      <c r="B5" s="1408"/>
      <c r="C5" s="1408"/>
      <c r="D5" s="1408"/>
      <c r="E5" s="1408"/>
      <c r="F5" s="1408"/>
      <c r="G5" s="1408"/>
      <c r="H5" s="1408"/>
      <c r="I5" s="1408"/>
      <c r="J5" s="1408"/>
      <c r="K5" s="1408"/>
      <c r="L5" s="1408"/>
      <c r="M5" s="1408"/>
    </row>
    <row r="6" spans="1:13" ht="8.25" customHeight="1" x14ac:dyDescent="0.2">
      <c r="A6" s="55"/>
      <c r="B6" s="55"/>
      <c r="C6" s="55"/>
      <c r="D6" s="55"/>
      <c r="E6" s="55"/>
      <c r="F6" s="55"/>
      <c r="G6" s="55"/>
      <c r="H6" s="55"/>
      <c r="I6" s="55"/>
      <c r="J6" s="55"/>
      <c r="K6" s="55"/>
    </row>
    <row r="7" spans="1:13" x14ac:dyDescent="0.2">
      <c r="A7" s="1240" t="s">
        <v>574</v>
      </c>
      <c r="B7" s="1240"/>
      <c r="C7" s="497"/>
      <c r="D7" s="55"/>
      <c r="E7" s="55"/>
      <c r="F7" s="55"/>
      <c r="G7" s="55"/>
      <c r="H7" s="55"/>
      <c r="I7" s="55"/>
      <c r="J7" s="55"/>
      <c r="K7" s="55"/>
    </row>
    <row r="8" spans="1:13" s="328" customFormat="1" ht="18" customHeight="1" x14ac:dyDescent="0.2">
      <c r="A8" s="1391" t="s">
        <v>2</v>
      </c>
      <c r="B8" s="1391" t="s">
        <v>3</v>
      </c>
      <c r="C8" s="1391" t="s">
        <v>129</v>
      </c>
      <c r="D8" s="1391"/>
      <c r="E8" s="1391"/>
      <c r="F8" s="1391" t="s">
        <v>209</v>
      </c>
      <c r="G8" s="1391"/>
      <c r="H8" s="1391"/>
      <c r="I8" s="1391"/>
      <c r="J8" s="1391" t="s">
        <v>209</v>
      </c>
      <c r="K8" s="1391"/>
      <c r="L8" s="1391"/>
      <c r="M8" s="1391"/>
    </row>
    <row r="9" spans="1:13" s="328" customFormat="1" ht="51" x14ac:dyDescent="0.2">
      <c r="A9" s="1391"/>
      <c r="B9" s="1391"/>
      <c r="C9" s="189" t="s">
        <v>684</v>
      </c>
      <c r="D9" s="189" t="s">
        <v>685</v>
      </c>
      <c r="E9" s="189" t="s">
        <v>212</v>
      </c>
      <c r="F9" s="189" t="s">
        <v>522</v>
      </c>
      <c r="G9" s="189" t="s">
        <v>523</v>
      </c>
      <c r="H9" s="189" t="s">
        <v>521</v>
      </c>
      <c r="I9" s="189" t="s">
        <v>212</v>
      </c>
      <c r="J9" s="189" t="s">
        <v>524</v>
      </c>
      <c r="K9" s="189" t="s">
        <v>523</v>
      </c>
      <c r="L9" s="189" t="s">
        <v>521</v>
      </c>
      <c r="M9" s="189" t="s">
        <v>212</v>
      </c>
    </row>
    <row r="10" spans="1:13" x14ac:dyDescent="0.2">
      <c r="A10" s="293">
        <v>1</v>
      </c>
      <c r="B10" s="293">
        <v>2</v>
      </c>
      <c r="C10" s="293">
        <v>3</v>
      </c>
      <c r="D10" s="293">
        <v>4</v>
      </c>
      <c r="E10" s="293">
        <v>5</v>
      </c>
      <c r="F10" s="293">
        <v>6</v>
      </c>
      <c r="G10" s="293">
        <v>7</v>
      </c>
      <c r="H10" s="293">
        <v>8</v>
      </c>
      <c r="I10" s="293">
        <v>9</v>
      </c>
      <c r="J10" s="293">
        <v>10</v>
      </c>
      <c r="K10" s="293">
        <v>11</v>
      </c>
      <c r="L10" s="293">
        <v>12</v>
      </c>
      <c r="M10" s="293">
        <v>13</v>
      </c>
    </row>
    <row r="11" spans="1:13" ht="23.25" customHeight="1" x14ac:dyDescent="0.2">
      <c r="A11" s="188">
        <v>1</v>
      </c>
      <c r="B11" s="219" t="s">
        <v>386</v>
      </c>
      <c r="C11" s="1409" t="s">
        <v>400</v>
      </c>
      <c r="D11" s="1410"/>
      <c r="E11" s="1410"/>
      <c r="F11" s="1410"/>
      <c r="G11" s="1410"/>
      <c r="H11" s="1410"/>
      <c r="I11" s="1410"/>
      <c r="J11" s="1410"/>
      <c r="K11" s="1410"/>
      <c r="L11" s="1410"/>
      <c r="M11" s="1411"/>
    </row>
    <row r="12" spans="1:13" ht="23.25" customHeight="1" x14ac:dyDescent="0.2">
      <c r="A12" s="188">
        <v>2</v>
      </c>
      <c r="B12" s="219" t="s">
        <v>387</v>
      </c>
      <c r="C12" s="1412"/>
      <c r="D12" s="1413"/>
      <c r="E12" s="1413"/>
      <c r="F12" s="1413"/>
      <c r="G12" s="1413"/>
      <c r="H12" s="1413"/>
      <c r="I12" s="1413"/>
      <c r="J12" s="1413"/>
      <c r="K12" s="1413"/>
      <c r="L12" s="1413"/>
      <c r="M12" s="1414"/>
    </row>
    <row r="13" spans="1:13" ht="23.25" customHeight="1" x14ac:dyDescent="0.2">
      <c r="A13" s="188">
        <v>3</v>
      </c>
      <c r="B13" s="219" t="s">
        <v>388</v>
      </c>
      <c r="C13" s="1412"/>
      <c r="D13" s="1413"/>
      <c r="E13" s="1413"/>
      <c r="F13" s="1413"/>
      <c r="G13" s="1413"/>
      <c r="H13" s="1413"/>
      <c r="I13" s="1413"/>
      <c r="J13" s="1413"/>
      <c r="K13" s="1413"/>
      <c r="L13" s="1413"/>
      <c r="M13" s="1414"/>
    </row>
    <row r="14" spans="1:13" ht="23.25" customHeight="1" x14ac:dyDescent="0.2">
      <c r="A14" s="188">
        <v>4</v>
      </c>
      <c r="B14" s="219" t="s">
        <v>389</v>
      </c>
      <c r="C14" s="1412"/>
      <c r="D14" s="1413"/>
      <c r="E14" s="1413"/>
      <c r="F14" s="1413"/>
      <c r="G14" s="1413"/>
      <c r="H14" s="1413"/>
      <c r="I14" s="1413"/>
      <c r="J14" s="1413"/>
      <c r="K14" s="1413"/>
      <c r="L14" s="1413"/>
      <c r="M14" s="1414"/>
    </row>
    <row r="15" spans="1:13" ht="23.25" customHeight="1" x14ac:dyDescent="0.2">
      <c r="A15" s="188">
        <v>5</v>
      </c>
      <c r="B15" s="221" t="s">
        <v>390</v>
      </c>
      <c r="C15" s="1412"/>
      <c r="D15" s="1413"/>
      <c r="E15" s="1413"/>
      <c r="F15" s="1413"/>
      <c r="G15" s="1413"/>
      <c r="H15" s="1413"/>
      <c r="I15" s="1413"/>
      <c r="J15" s="1413"/>
      <c r="K15" s="1413"/>
      <c r="L15" s="1413"/>
      <c r="M15" s="1414"/>
    </row>
    <row r="16" spans="1:13" ht="23.25" customHeight="1" x14ac:dyDescent="0.2">
      <c r="A16" s="188">
        <v>6</v>
      </c>
      <c r="B16" s="219" t="s">
        <v>391</v>
      </c>
      <c r="C16" s="1412"/>
      <c r="D16" s="1413"/>
      <c r="E16" s="1413"/>
      <c r="F16" s="1413"/>
      <c r="G16" s="1413"/>
      <c r="H16" s="1413"/>
      <c r="I16" s="1413"/>
      <c r="J16" s="1413"/>
      <c r="K16" s="1413"/>
      <c r="L16" s="1413"/>
      <c r="M16" s="1414"/>
    </row>
    <row r="17" spans="1:13" ht="23.25" customHeight="1" x14ac:dyDescent="0.2">
      <c r="A17" s="188">
        <v>7</v>
      </c>
      <c r="B17" s="221" t="s">
        <v>392</v>
      </c>
      <c r="C17" s="1412"/>
      <c r="D17" s="1413"/>
      <c r="E17" s="1413"/>
      <c r="F17" s="1413"/>
      <c r="G17" s="1413"/>
      <c r="H17" s="1413"/>
      <c r="I17" s="1413"/>
      <c r="J17" s="1413"/>
      <c r="K17" s="1413"/>
      <c r="L17" s="1413"/>
      <c r="M17" s="1414"/>
    </row>
    <row r="18" spans="1:13" ht="23.25" customHeight="1" x14ac:dyDescent="0.2">
      <c r="A18" s="188">
        <v>8</v>
      </c>
      <c r="B18" s="219" t="s">
        <v>393</v>
      </c>
      <c r="C18" s="1412"/>
      <c r="D18" s="1413"/>
      <c r="E18" s="1413"/>
      <c r="F18" s="1413"/>
      <c r="G18" s="1413"/>
      <c r="H18" s="1413"/>
      <c r="I18" s="1413"/>
      <c r="J18" s="1413"/>
      <c r="K18" s="1413"/>
      <c r="L18" s="1413"/>
      <c r="M18" s="1414"/>
    </row>
    <row r="19" spans="1:13" ht="23.25" customHeight="1" x14ac:dyDescent="0.2">
      <c r="A19" s="188">
        <v>9</v>
      </c>
      <c r="B19" s="219" t="s">
        <v>394</v>
      </c>
      <c r="C19" s="1412"/>
      <c r="D19" s="1413"/>
      <c r="E19" s="1413"/>
      <c r="F19" s="1413"/>
      <c r="G19" s="1413"/>
      <c r="H19" s="1413"/>
      <c r="I19" s="1413"/>
      <c r="J19" s="1413"/>
      <c r="K19" s="1413"/>
      <c r="L19" s="1413"/>
      <c r="M19" s="1414"/>
    </row>
    <row r="20" spans="1:13" ht="23.25" customHeight="1" x14ac:dyDescent="0.2">
      <c r="A20" s="188">
        <v>10</v>
      </c>
      <c r="B20" s="219" t="s">
        <v>395</v>
      </c>
      <c r="C20" s="1412"/>
      <c r="D20" s="1413"/>
      <c r="E20" s="1413"/>
      <c r="F20" s="1413"/>
      <c r="G20" s="1413"/>
      <c r="H20" s="1413"/>
      <c r="I20" s="1413"/>
      <c r="J20" s="1413"/>
      <c r="K20" s="1413"/>
      <c r="L20" s="1413"/>
      <c r="M20" s="1414"/>
    </row>
    <row r="21" spans="1:13" ht="23.25" customHeight="1" x14ac:dyDescent="0.2">
      <c r="A21" s="188">
        <v>11</v>
      </c>
      <c r="B21" s="219" t="s">
        <v>396</v>
      </c>
      <c r="C21" s="1412"/>
      <c r="D21" s="1413"/>
      <c r="E21" s="1413"/>
      <c r="F21" s="1413"/>
      <c r="G21" s="1413"/>
      <c r="H21" s="1413"/>
      <c r="I21" s="1413"/>
      <c r="J21" s="1413"/>
      <c r="K21" s="1413"/>
      <c r="L21" s="1413"/>
      <c r="M21" s="1414"/>
    </row>
    <row r="22" spans="1:13" ht="23.25" customHeight="1" x14ac:dyDescent="0.2">
      <c r="A22" s="188">
        <v>12</v>
      </c>
      <c r="B22" s="219" t="s">
        <v>397</v>
      </c>
      <c r="C22" s="1412"/>
      <c r="D22" s="1413"/>
      <c r="E22" s="1413"/>
      <c r="F22" s="1413"/>
      <c r="G22" s="1413"/>
      <c r="H22" s="1413"/>
      <c r="I22" s="1413"/>
      <c r="J22" s="1413"/>
      <c r="K22" s="1413"/>
      <c r="L22" s="1413"/>
      <c r="M22" s="1414"/>
    </row>
    <row r="23" spans="1:13" ht="23.25" customHeight="1" x14ac:dyDescent="0.2">
      <c r="A23" s="188">
        <v>13</v>
      </c>
      <c r="B23" s="219" t="s">
        <v>398</v>
      </c>
      <c r="C23" s="1415"/>
      <c r="D23" s="1416"/>
      <c r="E23" s="1416"/>
      <c r="F23" s="1416"/>
      <c r="G23" s="1416"/>
      <c r="H23" s="1416"/>
      <c r="I23" s="1416"/>
      <c r="J23" s="1416"/>
      <c r="K23" s="1416"/>
      <c r="L23" s="1416"/>
      <c r="M23" s="1417"/>
    </row>
    <row r="24" spans="1:13" ht="16.5" customHeight="1" x14ac:dyDescent="0.2">
      <c r="A24" s="227" t="s">
        <v>18</v>
      </c>
      <c r="B24" s="227"/>
      <c r="C24" s="295"/>
      <c r="D24" s="295"/>
      <c r="E24" s="295"/>
      <c r="F24" s="295"/>
      <c r="G24" s="295"/>
      <c r="H24" s="295"/>
      <c r="I24" s="295"/>
      <c r="J24" s="295"/>
      <c r="K24" s="295"/>
      <c r="L24" s="6"/>
      <c r="M24" s="6"/>
    </row>
    <row r="25" spans="1:13" x14ac:dyDescent="0.2">
      <c r="A25" s="356"/>
      <c r="B25" s="356"/>
      <c r="C25" s="62"/>
      <c r="D25" s="62"/>
      <c r="E25" s="62"/>
      <c r="F25" s="62"/>
      <c r="G25" s="62"/>
      <c r="H25" s="62"/>
      <c r="I25" s="62"/>
      <c r="J25" s="62"/>
      <c r="K25" s="62"/>
    </row>
    <row r="26" spans="1:13" x14ac:dyDescent="0.2">
      <c r="A26" s="55"/>
      <c r="B26" s="55"/>
      <c r="C26" s="55"/>
      <c r="D26" s="55"/>
      <c r="E26" s="55"/>
      <c r="F26" s="55"/>
      <c r="G26" s="55"/>
      <c r="H26" s="55"/>
      <c r="I26" s="55"/>
      <c r="J26" s="55"/>
      <c r="K26" s="55"/>
    </row>
    <row r="27" spans="1:13" x14ac:dyDescent="0.2">
      <c r="B27" s="64"/>
      <c r="C27" s="64"/>
      <c r="D27" s="64"/>
    </row>
    <row r="29" spans="1:13" ht="12.75" customHeight="1" x14ac:dyDescent="0.2">
      <c r="B29" s="494"/>
      <c r="C29" s="494"/>
      <c r="D29" s="494"/>
    </row>
    <row r="30" spans="1:13" ht="12.75" customHeight="1" x14ac:dyDescent="0.2">
      <c r="B30" s="494"/>
      <c r="C30" s="494"/>
      <c r="D30" s="494"/>
    </row>
    <row r="31" spans="1:13" x14ac:dyDescent="0.2">
      <c r="L31" s="494" t="s">
        <v>12</v>
      </c>
      <c r="M31" s="494"/>
    </row>
    <row r="32" spans="1:13" x14ac:dyDescent="0.2">
      <c r="K32" s="1407" t="s">
        <v>13</v>
      </c>
      <c r="L32" s="1407"/>
      <c r="M32" s="1407"/>
    </row>
    <row r="33" spans="1:13" x14ac:dyDescent="0.2">
      <c r="K33" s="1407" t="s">
        <v>613</v>
      </c>
      <c r="L33" s="1407"/>
      <c r="M33" s="1407"/>
    </row>
    <row r="34" spans="1:13" x14ac:dyDescent="0.2">
      <c r="A34" s="64" t="s">
        <v>612</v>
      </c>
      <c r="L34" s="24" t="s">
        <v>84</v>
      </c>
    </row>
  </sheetData>
  <mergeCells count="13">
    <mergeCell ref="K32:M32"/>
    <mergeCell ref="K33:M33"/>
    <mergeCell ref="C8:E8"/>
    <mergeCell ref="J8:M8"/>
    <mergeCell ref="A5:M5"/>
    <mergeCell ref="C11:M23"/>
    <mergeCell ref="L1:M1"/>
    <mergeCell ref="A7:B7"/>
    <mergeCell ref="A8:A9"/>
    <mergeCell ref="B8:B9"/>
    <mergeCell ref="A2:M2"/>
    <mergeCell ref="A3:M3"/>
    <mergeCell ref="F8:I8"/>
  </mergeCells>
  <printOptions horizontalCentered="1"/>
  <pageMargins left="0.26" right="0.38" top="0.5" bottom="0.28999999999999998" header="0.33" footer="0.22"/>
  <pageSetup paperSize="9" scale="81"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5" tint="0.39997558519241921"/>
    <pageSetUpPr fitToPage="1"/>
  </sheetPr>
  <dimension ref="A1:L29"/>
  <sheetViews>
    <sheetView view="pageBreakPreview" zoomScale="90" zoomScaleSheetLayoutView="90" workbookViewId="0">
      <selection activeCell="O15" sqref="O15"/>
    </sheetView>
  </sheetViews>
  <sheetFormatPr defaultRowHeight="12.75" x14ac:dyDescent="0.2"/>
  <cols>
    <col min="1" max="1" width="5.85546875" customWidth="1"/>
    <col min="2" max="6" width="13.5703125" customWidth="1"/>
    <col min="7" max="7" width="14.85546875" customWidth="1"/>
    <col min="8" max="8" width="12.42578125" customWidth="1"/>
    <col min="9" max="9" width="15.28515625" customWidth="1"/>
    <col min="10" max="10" width="14.28515625" customWidth="1"/>
    <col min="11" max="11" width="21.85546875" customWidth="1"/>
    <col min="12" max="12" width="9.140625" hidden="1" customWidth="1"/>
  </cols>
  <sheetData>
    <row r="1" spans="1:12" ht="18" x14ac:dyDescent="0.35">
      <c r="J1" s="1418" t="s">
        <v>660</v>
      </c>
      <c r="K1" s="1418"/>
    </row>
    <row r="2" spans="1:12" ht="18" x14ac:dyDescent="0.35">
      <c r="A2" s="1310" t="s">
        <v>0</v>
      </c>
      <c r="B2" s="1310"/>
      <c r="C2" s="1310"/>
      <c r="D2" s="1310"/>
      <c r="E2" s="1310"/>
      <c r="F2" s="1310"/>
      <c r="G2" s="1310"/>
      <c r="H2" s="1310"/>
      <c r="I2" s="1310"/>
      <c r="J2" s="1310"/>
      <c r="K2" s="1310"/>
    </row>
    <row r="3" spans="1:12" ht="18.75" x14ac:dyDescent="0.3">
      <c r="A3" s="1281" t="s">
        <v>788</v>
      </c>
      <c r="B3" s="1281"/>
      <c r="C3" s="1281"/>
      <c r="D3" s="1281"/>
      <c r="E3" s="1281"/>
      <c r="F3" s="1281"/>
      <c r="G3" s="1281"/>
      <c r="H3" s="1281"/>
      <c r="I3" s="1281"/>
      <c r="J3" s="1281"/>
      <c r="K3" s="1281"/>
    </row>
    <row r="4" spans="1:12" ht="15" x14ac:dyDescent="0.3">
      <c r="A4" s="111"/>
      <c r="B4" s="111"/>
      <c r="C4" s="111"/>
      <c r="D4" s="111"/>
      <c r="E4" s="111"/>
      <c r="F4" s="111"/>
      <c r="G4" s="111"/>
      <c r="H4" s="111"/>
      <c r="I4" s="111"/>
      <c r="J4" s="111"/>
      <c r="K4" s="111"/>
    </row>
    <row r="5" spans="1:12" ht="18" x14ac:dyDescent="0.35">
      <c r="A5" s="1419" t="s">
        <v>697</v>
      </c>
      <c r="B5" s="1419"/>
      <c r="C5" s="1419"/>
      <c r="D5" s="1419"/>
      <c r="E5" s="1419"/>
      <c r="F5" s="1419"/>
      <c r="G5" s="1419"/>
      <c r="H5" s="1419"/>
      <c r="I5" s="1419"/>
      <c r="J5" s="1419"/>
      <c r="K5" s="1419"/>
    </row>
    <row r="6" spans="1:12" ht="15" x14ac:dyDescent="0.3">
      <c r="A6" s="1075" t="s">
        <v>456</v>
      </c>
      <c r="B6" s="1075"/>
      <c r="C6" s="1075"/>
      <c r="D6" s="112"/>
      <c r="E6" s="112"/>
      <c r="F6" s="112"/>
      <c r="G6" s="112"/>
      <c r="H6" s="112"/>
      <c r="I6" s="111"/>
      <c r="J6" s="1275" t="s">
        <v>795</v>
      </c>
      <c r="K6" s="1275"/>
      <c r="L6" s="1275"/>
    </row>
    <row r="7" spans="1:12" ht="32.25" customHeight="1" x14ac:dyDescent="0.2">
      <c r="A7" s="1282" t="s">
        <v>2</v>
      </c>
      <c r="B7" s="1282" t="s">
        <v>3</v>
      </c>
      <c r="C7" s="1282" t="s">
        <v>462</v>
      </c>
      <c r="D7" s="1282" t="s">
        <v>327</v>
      </c>
      <c r="E7" s="1282"/>
      <c r="F7" s="1282"/>
      <c r="G7" s="1282"/>
      <c r="H7" s="1282"/>
      <c r="I7" s="1283" t="s">
        <v>328</v>
      </c>
      <c r="J7" s="1284"/>
      <c r="K7" s="1285"/>
    </row>
    <row r="8" spans="1:12" ht="90" customHeight="1" x14ac:dyDescent="0.2">
      <c r="A8" s="1282"/>
      <c r="B8" s="1282"/>
      <c r="C8" s="1282"/>
      <c r="D8" s="226" t="s">
        <v>329</v>
      </c>
      <c r="E8" s="226" t="s">
        <v>212</v>
      </c>
      <c r="F8" s="226" t="s">
        <v>330</v>
      </c>
      <c r="G8" s="226" t="s">
        <v>331</v>
      </c>
      <c r="H8" s="226" t="s">
        <v>661</v>
      </c>
      <c r="I8" s="226" t="s">
        <v>332</v>
      </c>
      <c r="J8" s="226" t="s">
        <v>333</v>
      </c>
      <c r="K8" s="705" t="s">
        <v>334</v>
      </c>
    </row>
    <row r="9" spans="1:12" ht="15" x14ac:dyDescent="0.2">
      <c r="A9" s="218" t="s">
        <v>287</v>
      </c>
      <c r="B9" s="218" t="s">
        <v>288</v>
      </c>
      <c r="C9" s="218" t="s">
        <v>289</v>
      </c>
      <c r="D9" s="218" t="s">
        <v>290</v>
      </c>
      <c r="E9" s="218" t="s">
        <v>291</v>
      </c>
      <c r="F9" s="218" t="s">
        <v>292</v>
      </c>
      <c r="G9" s="218" t="s">
        <v>293</v>
      </c>
      <c r="H9" s="218" t="s">
        <v>294</v>
      </c>
      <c r="I9" s="218" t="s">
        <v>315</v>
      </c>
      <c r="J9" s="218" t="s">
        <v>316</v>
      </c>
      <c r="K9" s="218" t="s">
        <v>317</v>
      </c>
    </row>
    <row r="10" spans="1:12" x14ac:dyDescent="0.2">
      <c r="A10" s="1420" t="s">
        <v>399</v>
      </c>
      <c r="B10" s="1421"/>
      <c r="C10" s="1421"/>
      <c r="D10" s="1421"/>
      <c r="E10" s="1421"/>
      <c r="F10" s="1421"/>
      <c r="G10" s="1421"/>
      <c r="H10" s="1421"/>
      <c r="I10" s="1421"/>
      <c r="J10" s="1421"/>
      <c r="K10" s="1422"/>
    </row>
    <row r="11" spans="1:12" x14ac:dyDescent="0.2">
      <c r="A11" s="1423"/>
      <c r="B11" s="1424"/>
      <c r="C11" s="1424"/>
      <c r="D11" s="1424"/>
      <c r="E11" s="1424"/>
      <c r="F11" s="1424"/>
      <c r="G11" s="1424"/>
      <c r="H11" s="1424"/>
      <c r="I11" s="1424"/>
      <c r="J11" s="1424"/>
      <c r="K11" s="1425"/>
    </row>
    <row r="12" spans="1:12" x14ac:dyDescent="0.2">
      <c r="A12" s="1423"/>
      <c r="B12" s="1424"/>
      <c r="C12" s="1424"/>
      <c r="D12" s="1424"/>
      <c r="E12" s="1424"/>
      <c r="F12" s="1424"/>
      <c r="G12" s="1424"/>
      <c r="H12" s="1424"/>
      <c r="I12" s="1424"/>
      <c r="J12" s="1424"/>
      <c r="K12" s="1425"/>
    </row>
    <row r="13" spans="1:12" x14ac:dyDescent="0.2">
      <c r="A13" s="1423"/>
      <c r="B13" s="1424"/>
      <c r="C13" s="1424"/>
      <c r="D13" s="1424"/>
      <c r="E13" s="1424"/>
      <c r="F13" s="1424"/>
      <c r="G13" s="1424"/>
      <c r="H13" s="1424"/>
      <c r="I13" s="1424"/>
      <c r="J13" s="1424"/>
      <c r="K13" s="1425"/>
    </row>
    <row r="14" spans="1:12" x14ac:dyDescent="0.2">
      <c r="A14" s="1423"/>
      <c r="B14" s="1424"/>
      <c r="C14" s="1424"/>
      <c r="D14" s="1424"/>
      <c r="E14" s="1424"/>
      <c r="F14" s="1424"/>
      <c r="G14" s="1424"/>
      <c r="H14" s="1424"/>
      <c r="I14" s="1424"/>
      <c r="J14" s="1424"/>
      <c r="K14" s="1425"/>
    </row>
    <row r="15" spans="1:12" x14ac:dyDescent="0.2">
      <c r="A15" s="1423"/>
      <c r="B15" s="1424"/>
      <c r="C15" s="1424"/>
      <c r="D15" s="1424"/>
      <c r="E15" s="1424"/>
      <c r="F15" s="1424"/>
      <c r="G15" s="1424"/>
      <c r="H15" s="1424"/>
      <c r="I15" s="1424"/>
      <c r="J15" s="1424"/>
      <c r="K15" s="1425"/>
    </row>
    <row r="16" spans="1:12" x14ac:dyDescent="0.2">
      <c r="A16" s="1423"/>
      <c r="B16" s="1424"/>
      <c r="C16" s="1424"/>
      <c r="D16" s="1424"/>
      <c r="E16" s="1424"/>
      <c r="F16" s="1424"/>
      <c r="G16" s="1424"/>
      <c r="H16" s="1424"/>
      <c r="I16" s="1424"/>
      <c r="J16" s="1424"/>
      <c r="K16" s="1425"/>
    </row>
    <row r="17" spans="1:12" x14ac:dyDescent="0.2">
      <c r="A17" s="1423"/>
      <c r="B17" s="1424"/>
      <c r="C17" s="1424"/>
      <c r="D17" s="1424"/>
      <c r="E17" s="1424"/>
      <c r="F17" s="1424"/>
      <c r="G17" s="1424"/>
      <c r="H17" s="1424"/>
      <c r="I17" s="1424"/>
      <c r="J17" s="1424"/>
      <c r="K17" s="1425"/>
    </row>
    <row r="18" spans="1:12" x14ac:dyDescent="0.2">
      <c r="A18" s="1423"/>
      <c r="B18" s="1424"/>
      <c r="C18" s="1424"/>
      <c r="D18" s="1424"/>
      <c r="E18" s="1424"/>
      <c r="F18" s="1424"/>
      <c r="G18" s="1424"/>
      <c r="H18" s="1424"/>
      <c r="I18" s="1424"/>
      <c r="J18" s="1424"/>
      <c r="K18" s="1425"/>
    </row>
    <row r="19" spans="1:12" x14ac:dyDescent="0.2">
      <c r="A19" s="1423"/>
      <c r="B19" s="1424"/>
      <c r="C19" s="1424"/>
      <c r="D19" s="1424"/>
      <c r="E19" s="1424"/>
      <c r="F19" s="1424"/>
      <c r="G19" s="1424"/>
      <c r="H19" s="1424"/>
      <c r="I19" s="1424"/>
      <c r="J19" s="1424"/>
      <c r="K19" s="1425"/>
    </row>
    <row r="20" spans="1:12" x14ac:dyDescent="0.2">
      <c r="A20" s="1423"/>
      <c r="B20" s="1424"/>
      <c r="C20" s="1424"/>
      <c r="D20" s="1424"/>
      <c r="E20" s="1424"/>
      <c r="F20" s="1424"/>
      <c r="G20" s="1424"/>
      <c r="H20" s="1424"/>
      <c r="I20" s="1424"/>
      <c r="J20" s="1424"/>
      <c r="K20" s="1425"/>
    </row>
    <row r="21" spans="1:12" x14ac:dyDescent="0.2">
      <c r="A21" s="1423"/>
      <c r="B21" s="1424"/>
      <c r="C21" s="1424"/>
      <c r="D21" s="1424"/>
      <c r="E21" s="1424"/>
      <c r="F21" s="1424"/>
      <c r="G21" s="1424"/>
      <c r="H21" s="1424"/>
      <c r="I21" s="1424"/>
      <c r="J21" s="1424"/>
      <c r="K21" s="1425"/>
    </row>
    <row r="22" spans="1:12" x14ac:dyDescent="0.2">
      <c r="A22" s="1426"/>
      <c r="B22" s="1427"/>
      <c r="C22" s="1427"/>
      <c r="D22" s="1427"/>
      <c r="E22" s="1427"/>
      <c r="F22" s="1427"/>
      <c r="G22" s="1427"/>
      <c r="H22" s="1427"/>
      <c r="I22" s="1427"/>
      <c r="J22" s="1427"/>
      <c r="K22" s="1428"/>
    </row>
    <row r="23" spans="1:12" x14ac:dyDescent="0.2">
      <c r="A23" s="11" t="s">
        <v>662</v>
      </c>
    </row>
    <row r="26" spans="1:12" x14ac:dyDescent="0.2">
      <c r="A26" s="114"/>
      <c r="B26" s="114"/>
      <c r="C26" s="114"/>
      <c r="D26" s="114"/>
      <c r="I26" s="1274" t="s">
        <v>12</v>
      </c>
      <c r="J26" s="1274"/>
      <c r="K26" s="1274"/>
    </row>
    <row r="27" spans="1:12" ht="15" customHeight="1" x14ac:dyDescent="0.2">
      <c r="A27" s="114"/>
      <c r="B27" s="114"/>
      <c r="C27" s="114"/>
      <c r="D27" s="114"/>
      <c r="I27" s="1274" t="s">
        <v>13</v>
      </c>
      <c r="J27" s="1274"/>
      <c r="K27" s="1274"/>
      <c r="L27" s="124"/>
    </row>
    <row r="28" spans="1:12" ht="15" customHeight="1" x14ac:dyDescent="0.2">
      <c r="A28" s="114"/>
      <c r="B28" s="114"/>
      <c r="C28" s="114"/>
      <c r="D28" s="114"/>
      <c r="I28" s="1274" t="s">
        <v>87</v>
      </c>
      <c r="J28" s="1274"/>
      <c r="K28" s="1274"/>
      <c r="L28" s="124"/>
    </row>
    <row r="29" spans="1:12" x14ac:dyDescent="0.2">
      <c r="A29" s="114" t="s">
        <v>11</v>
      </c>
      <c r="C29" s="114"/>
      <c r="D29" s="114"/>
      <c r="I29" s="1302" t="s">
        <v>84</v>
      </c>
      <c r="J29" s="1302"/>
      <c r="K29" s="118"/>
    </row>
  </sheetData>
  <mergeCells count="16">
    <mergeCell ref="I29:J29"/>
    <mergeCell ref="J1:K1"/>
    <mergeCell ref="A3:K3"/>
    <mergeCell ref="A5:K5"/>
    <mergeCell ref="J6:L6"/>
    <mergeCell ref="A10:K22"/>
    <mergeCell ref="I7:K7"/>
    <mergeCell ref="A2:K2"/>
    <mergeCell ref="I26:K26"/>
    <mergeCell ref="I27:K27"/>
    <mergeCell ref="I28:K28"/>
    <mergeCell ref="A7:A8"/>
    <mergeCell ref="B7:B8"/>
    <mergeCell ref="C7:C8"/>
    <mergeCell ref="D7:H7"/>
    <mergeCell ref="A6:C6"/>
  </mergeCells>
  <printOptions horizontalCentered="1"/>
  <pageMargins left="0.70866141732283472" right="0.70866141732283472" top="0.23622047244094491" bottom="0" header="0.31496062992125984" footer="0.31496062992125984"/>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fitToPage="1"/>
  </sheetPr>
  <dimension ref="A2:IV32"/>
  <sheetViews>
    <sheetView view="pageBreakPreview" topLeftCell="A13" zoomScaleSheetLayoutView="100" workbookViewId="0">
      <selection activeCell="M47" sqref="M47"/>
    </sheetView>
  </sheetViews>
  <sheetFormatPr defaultRowHeight="12.75" x14ac:dyDescent="0.2"/>
  <cols>
    <col min="1" max="1" width="5.42578125" customWidth="1"/>
    <col min="2" max="2" width="19.5703125" customWidth="1"/>
    <col min="3" max="3" width="9.28515625" customWidth="1"/>
    <col min="4" max="4" width="8.28515625" customWidth="1"/>
    <col min="5" max="5" width="7" customWidth="1"/>
    <col min="6" max="6" width="8.7109375" style="11" customWidth="1"/>
    <col min="7" max="7" width="8.42578125" customWidth="1"/>
    <col min="8" max="8" width="7.7109375" customWidth="1"/>
    <col min="9" max="9" width="7" customWidth="1"/>
    <col min="10" max="10" width="8.5703125" style="11" customWidth="1"/>
    <col min="11" max="12" width="7.7109375" customWidth="1"/>
    <col min="13" max="13" width="7" customWidth="1"/>
    <col min="14" max="14" width="7.85546875" style="11" customWidth="1"/>
    <col min="15" max="15" width="8.28515625" customWidth="1"/>
    <col min="16" max="16" width="7.7109375" customWidth="1"/>
    <col min="17" max="17" width="7" customWidth="1"/>
    <col min="18" max="18" width="9.140625" style="11" customWidth="1"/>
    <col min="19" max="19" width="10.5703125" customWidth="1"/>
    <col min="20" max="20" width="9.85546875" customWidth="1"/>
    <col min="21" max="21" width="8.7109375" customWidth="1"/>
    <col min="22" max="22" width="16.140625" style="12" customWidth="1"/>
    <col min="27" max="27" width="11" customWidth="1"/>
    <col min="28" max="29" width="8.85546875" hidden="1" customWidth="1"/>
  </cols>
  <sheetData>
    <row r="2" spans="1:256" x14ac:dyDescent="0.2">
      <c r="G2" s="1037"/>
      <c r="H2" s="1037"/>
      <c r="I2" s="1037"/>
      <c r="J2" s="1037"/>
      <c r="K2" s="1037"/>
      <c r="L2" s="1037"/>
      <c r="M2" s="1037"/>
      <c r="N2" s="1037"/>
      <c r="O2" s="1037"/>
      <c r="P2" s="1"/>
      <c r="Q2" s="1"/>
      <c r="R2" s="1"/>
      <c r="T2" s="1040" t="s">
        <v>60</v>
      </c>
      <c r="U2" s="1040"/>
    </row>
    <row r="3" spans="1:256" ht="16.5" x14ac:dyDescent="0.2">
      <c r="A3" s="1080" t="s">
        <v>58</v>
      </c>
      <c r="B3" s="1080"/>
      <c r="C3" s="1080"/>
      <c r="D3" s="1080"/>
      <c r="E3" s="1080"/>
      <c r="F3" s="1080"/>
      <c r="G3" s="1080"/>
      <c r="H3" s="1080"/>
      <c r="I3" s="1080"/>
      <c r="J3" s="1080"/>
      <c r="K3" s="1080"/>
      <c r="L3" s="1080"/>
      <c r="M3" s="1080"/>
      <c r="N3" s="1080"/>
      <c r="O3" s="1080"/>
      <c r="P3" s="1080"/>
      <c r="Q3" s="1080"/>
      <c r="R3" s="1080"/>
      <c r="S3" s="1080"/>
      <c r="T3" s="1080"/>
      <c r="U3" s="1080"/>
      <c r="V3" s="1080"/>
    </row>
    <row r="4" spans="1:256" ht="20.25" x14ac:dyDescent="0.3">
      <c r="A4" s="1080" t="s">
        <v>788</v>
      </c>
      <c r="B4" s="1080"/>
      <c r="C4" s="1080"/>
      <c r="D4" s="1080"/>
      <c r="E4" s="1080"/>
      <c r="F4" s="1080"/>
      <c r="G4" s="1080"/>
      <c r="H4" s="1080"/>
      <c r="I4" s="1080"/>
      <c r="J4" s="1080"/>
      <c r="K4" s="1080"/>
      <c r="L4" s="1080"/>
      <c r="M4" s="1080"/>
      <c r="N4" s="1080"/>
      <c r="O4" s="1080"/>
      <c r="P4" s="1080"/>
      <c r="Q4" s="1080"/>
      <c r="R4" s="1080"/>
      <c r="S4" s="1080"/>
      <c r="T4" s="1080"/>
      <c r="U4" s="1080"/>
      <c r="V4" s="1080"/>
      <c r="W4" s="33"/>
      <c r="X4" s="33"/>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8" x14ac:dyDescent="0.2">
      <c r="A5" s="1084" t="s">
        <v>1060</v>
      </c>
      <c r="B5" s="1084"/>
      <c r="C5" s="1084"/>
      <c r="D5" s="1084"/>
      <c r="E5" s="1084"/>
      <c r="F5" s="1084"/>
      <c r="G5" s="1084"/>
      <c r="H5" s="1084"/>
      <c r="I5" s="1084"/>
      <c r="J5" s="1084"/>
      <c r="K5" s="1084"/>
      <c r="L5" s="1084"/>
      <c r="M5" s="1084"/>
      <c r="N5" s="1084"/>
      <c r="O5" s="1084"/>
      <c r="P5" s="1084"/>
      <c r="Q5" s="1084"/>
      <c r="R5" s="1084"/>
      <c r="S5" s="1084"/>
      <c r="T5" s="1084"/>
      <c r="U5" s="1084"/>
      <c r="V5" s="1084"/>
    </row>
    <row r="6" spans="1:256" ht="15.75" x14ac:dyDescent="0.25">
      <c r="A6" s="1075" t="s">
        <v>456</v>
      </c>
      <c r="B6" s="1075"/>
      <c r="C6" s="1075"/>
      <c r="D6" s="21"/>
      <c r="E6" s="21"/>
      <c r="F6" s="21"/>
      <c r="G6" s="36"/>
      <c r="H6" s="36"/>
      <c r="I6" s="36"/>
      <c r="J6" s="36"/>
      <c r="K6" s="36"/>
      <c r="L6" s="36"/>
      <c r="M6" s="36"/>
      <c r="N6" s="36"/>
      <c r="O6" s="36"/>
      <c r="P6" s="36"/>
      <c r="Q6" s="36"/>
      <c r="R6" s="36"/>
      <c r="S6" s="36"/>
      <c r="T6" s="36"/>
      <c r="U6" s="36"/>
    </row>
    <row r="7" spans="1:256" ht="15.75" thickBot="1" x14ac:dyDescent="0.3">
      <c r="U7" s="1092" t="s">
        <v>271</v>
      </c>
      <c r="V7" s="1092"/>
      <c r="W7" s="12"/>
      <c r="X7" s="12"/>
      <c r="Y7" s="12"/>
      <c r="Z7" s="12"/>
      <c r="AA7" s="1091"/>
      <c r="AB7" s="1091"/>
      <c r="AC7" s="1091"/>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ht="32.25" customHeight="1" thickBot="1" x14ac:dyDescent="0.25">
      <c r="A8" s="1076" t="s">
        <v>2</v>
      </c>
      <c r="B8" s="1076" t="s">
        <v>114</v>
      </c>
      <c r="C8" s="1085" t="s">
        <v>167</v>
      </c>
      <c r="D8" s="1086"/>
      <c r="E8" s="1086"/>
      <c r="F8" s="1087"/>
      <c r="G8" s="1085" t="s">
        <v>1061</v>
      </c>
      <c r="H8" s="1086"/>
      <c r="I8" s="1086"/>
      <c r="J8" s="1086"/>
      <c r="K8" s="1086"/>
      <c r="L8" s="1086"/>
      <c r="M8" s="1086"/>
      <c r="N8" s="1086"/>
      <c r="O8" s="1086"/>
      <c r="P8" s="1086"/>
      <c r="Q8" s="1086"/>
      <c r="R8" s="1087"/>
      <c r="S8" s="1093" t="s">
        <v>272</v>
      </c>
      <c r="T8" s="1094"/>
      <c r="U8" s="1094"/>
      <c r="V8" s="1095"/>
      <c r="W8" s="79"/>
      <c r="X8" s="79"/>
      <c r="Y8" s="79"/>
      <c r="Z8" s="79"/>
      <c r="AA8" s="79"/>
      <c r="AB8" s="79"/>
      <c r="AC8" s="79"/>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ht="32.25" customHeight="1" thickBot="1" x14ac:dyDescent="0.25">
      <c r="A9" s="1077"/>
      <c r="B9" s="1077"/>
      <c r="C9" s="1088"/>
      <c r="D9" s="1089"/>
      <c r="E9" s="1089"/>
      <c r="F9" s="1090"/>
      <c r="G9" s="1081" t="s">
        <v>187</v>
      </c>
      <c r="H9" s="1082"/>
      <c r="I9" s="1082"/>
      <c r="J9" s="1083"/>
      <c r="K9" s="1085" t="s">
        <v>188</v>
      </c>
      <c r="L9" s="1086"/>
      <c r="M9" s="1086"/>
      <c r="N9" s="1083"/>
      <c r="O9" s="1081" t="s">
        <v>18</v>
      </c>
      <c r="P9" s="1082"/>
      <c r="Q9" s="1082"/>
      <c r="R9" s="1083"/>
      <c r="S9" s="1096"/>
      <c r="T9" s="1097"/>
      <c r="U9" s="1097"/>
      <c r="V9" s="1098"/>
      <c r="W9" s="79"/>
      <c r="X9" s="79"/>
      <c r="Y9" s="79"/>
      <c r="Z9" s="79"/>
      <c r="AA9" s="79"/>
      <c r="AB9" s="79"/>
      <c r="AC9" s="79"/>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ht="42" customHeight="1" thickBot="1" x14ac:dyDescent="0.25">
      <c r="A10" s="1079"/>
      <c r="B10" s="1078"/>
      <c r="C10" s="397" t="s">
        <v>273</v>
      </c>
      <c r="D10" s="398" t="s">
        <v>274</v>
      </c>
      <c r="E10" s="399" t="s">
        <v>275</v>
      </c>
      <c r="F10" s="277" t="s">
        <v>18</v>
      </c>
      <c r="G10" s="400" t="s">
        <v>273</v>
      </c>
      <c r="H10" s="401" t="s">
        <v>274</v>
      </c>
      <c r="I10" s="402" t="s">
        <v>275</v>
      </c>
      <c r="J10" s="277" t="s">
        <v>18</v>
      </c>
      <c r="K10" s="397" t="s">
        <v>273</v>
      </c>
      <c r="L10" s="398" t="s">
        <v>274</v>
      </c>
      <c r="M10" s="399" t="s">
        <v>275</v>
      </c>
      <c r="N10" s="330" t="s">
        <v>18</v>
      </c>
      <c r="O10" s="410" t="s">
        <v>273</v>
      </c>
      <c r="P10" s="401" t="s">
        <v>274</v>
      </c>
      <c r="Q10" s="402" t="s">
        <v>275</v>
      </c>
      <c r="R10" s="329" t="s">
        <v>18</v>
      </c>
      <c r="S10" s="439" t="s">
        <v>483</v>
      </c>
      <c r="T10" s="440" t="s">
        <v>484</v>
      </c>
      <c r="U10" s="441" t="s">
        <v>485</v>
      </c>
      <c r="V10" s="412" t="s">
        <v>486</v>
      </c>
      <c r="W10" s="79"/>
      <c r="X10" s="79"/>
      <c r="Y10" s="79"/>
      <c r="Z10" s="79"/>
      <c r="AA10" s="79"/>
      <c r="AB10" s="79"/>
      <c r="AC10" s="79"/>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32.25" customHeight="1" x14ac:dyDescent="0.2">
      <c r="A11" s="202">
        <v>1</v>
      </c>
      <c r="B11" s="386">
        <v>2</v>
      </c>
      <c r="C11" s="203">
        <v>3</v>
      </c>
      <c r="D11" s="204">
        <v>4</v>
      </c>
      <c r="E11" s="205">
        <v>5</v>
      </c>
      <c r="F11" s="404">
        <v>6</v>
      </c>
      <c r="G11" s="394">
        <v>7</v>
      </c>
      <c r="H11" s="403">
        <v>8</v>
      </c>
      <c r="I11" s="395">
        <v>9</v>
      </c>
      <c r="J11" s="407">
        <v>10</v>
      </c>
      <c r="K11" s="203">
        <v>11</v>
      </c>
      <c r="L11" s="206">
        <v>12</v>
      </c>
      <c r="M11" s="207">
        <v>13</v>
      </c>
      <c r="N11" s="282">
        <v>14</v>
      </c>
      <c r="O11" s="394">
        <v>15</v>
      </c>
      <c r="P11" s="403">
        <v>16</v>
      </c>
      <c r="Q11" s="395">
        <v>17</v>
      </c>
      <c r="R11" s="405">
        <v>18</v>
      </c>
      <c r="S11" s="203">
        <v>19</v>
      </c>
      <c r="T11" s="206">
        <v>20</v>
      </c>
      <c r="U11" s="207">
        <v>21</v>
      </c>
      <c r="V11" s="310">
        <v>22</v>
      </c>
      <c r="W11" s="97"/>
      <c r="X11" s="97"/>
      <c r="Y11" s="97"/>
      <c r="Z11" s="97"/>
      <c r="AA11" s="97"/>
      <c r="AB11" s="97"/>
      <c r="AC11" s="97"/>
      <c r="AD11" s="97"/>
      <c r="AE11" s="97"/>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row>
    <row r="12" spans="1:256" ht="32.25" customHeight="1" x14ac:dyDescent="0.2">
      <c r="A12" s="208"/>
      <c r="B12" s="387" t="s">
        <v>255</v>
      </c>
      <c r="C12" s="209"/>
      <c r="D12" s="90"/>
      <c r="E12" s="210"/>
      <c r="F12" s="309"/>
      <c r="G12" s="211"/>
      <c r="H12" s="212"/>
      <c r="I12" s="213"/>
      <c r="J12" s="214"/>
      <c r="K12" s="211"/>
      <c r="L12" s="212"/>
      <c r="M12" s="213"/>
      <c r="N12" s="300"/>
      <c r="O12" s="211"/>
      <c r="P12" s="212"/>
      <c r="Q12" s="213"/>
      <c r="R12" s="309"/>
      <c r="S12" s="211"/>
      <c r="T12" s="212"/>
      <c r="U12" s="213"/>
      <c r="V12" s="311"/>
      <c r="W12" s="80"/>
      <c r="X12" s="80"/>
      <c r="Y12" s="80"/>
      <c r="Z12" s="80"/>
      <c r="AA12" s="80"/>
      <c r="AB12" s="80"/>
      <c r="AC12" s="80"/>
      <c r="AD12" s="80"/>
      <c r="AE12" s="80"/>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ht="32.25" customHeight="1" x14ac:dyDescent="0.2">
      <c r="A13" s="214">
        <v>1</v>
      </c>
      <c r="B13" s="387" t="s">
        <v>195</v>
      </c>
      <c r="C13" s="215">
        <v>399</v>
      </c>
      <c r="D13" s="197">
        <v>120</v>
      </c>
      <c r="E13" s="216">
        <v>15.99</v>
      </c>
      <c r="F13" s="312">
        <f t="shared" ref="F13:F21" si="0">C13+D13+E13</f>
        <v>534.99</v>
      </c>
      <c r="G13" s="215">
        <v>342.8</v>
      </c>
      <c r="H13" s="197">
        <v>114.58</v>
      </c>
      <c r="I13" s="216">
        <v>14.54</v>
      </c>
      <c r="J13" s="312">
        <f t="shared" ref="J13:J21" si="1">G13+H13+I13</f>
        <v>471.92</v>
      </c>
      <c r="K13" s="215">
        <v>0</v>
      </c>
      <c r="L13" s="197">
        <v>0</v>
      </c>
      <c r="M13" s="216">
        <v>0</v>
      </c>
      <c r="N13" s="312">
        <f t="shared" ref="N13:N21" si="2">K13+L13+M13</f>
        <v>0</v>
      </c>
      <c r="O13" s="215">
        <f>G13+K13</f>
        <v>342.8</v>
      </c>
      <c r="P13" s="197">
        <f>H13+L13</f>
        <v>114.58</v>
      </c>
      <c r="Q13" s="216">
        <f>I13+M13</f>
        <v>14.54</v>
      </c>
      <c r="R13" s="312">
        <f t="shared" ref="R13:R21" si="3">O13+P13+Q13</f>
        <v>471.92</v>
      </c>
      <c r="S13" s="215">
        <f>C13-O13</f>
        <v>56.199999999999989</v>
      </c>
      <c r="T13" s="197">
        <f>D13-P13</f>
        <v>5.4200000000000017</v>
      </c>
      <c r="U13" s="216">
        <f>E13-Q13</f>
        <v>1.4500000000000011</v>
      </c>
      <c r="V13" s="217">
        <f>S13+T13+U13</f>
        <v>63.069999999999993</v>
      </c>
      <c r="W13" s="80"/>
      <c r="X13" s="80"/>
      <c r="Y13" s="80"/>
      <c r="Z13" s="80"/>
      <c r="AA13" s="80"/>
      <c r="AB13" s="80"/>
      <c r="AC13" s="80"/>
      <c r="AD13" s="80"/>
      <c r="AE13" s="80"/>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ht="32.25" customHeight="1" x14ac:dyDescent="0.2">
      <c r="A14" s="214">
        <v>2</v>
      </c>
      <c r="B14" s="388" t="s">
        <v>136</v>
      </c>
      <c r="C14" s="215">
        <v>7165</v>
      </c>
      <c r="D14" s="197">
        <v>2150</v>
      </c>
      <c r="E14" s="216">
        <v>324.52999999999997</v>
      </c>
      <c r="F14" s="312">
        <f t="shared" si="0"/>
        <v>9639.5300000000007</v>
      </c>
      <c r="G14" s="215">
        <v>4389.55</v>
      </c>
      <c r="H14" s="197">
        <v>1467.21</v>
      </c>
      <c r="I14" s="216">
        <v>186.12</v>
      </c>
      <c r="J14" s="312">
        <f t="shared" si="1"/>
        <v>6042.88</v>
      </c>
      <c r="K14" s="215">
        <v>487.72</v>
      </c>
      <c r="L14" s="197">
        <v>163.02000000000001</v>
      </c>
      <c r="M14" s="216">
        <v>20.69</v>
      </c>
      <c r="N14" s="312">
        <f t="shared" si="2"/>
        <v>671.43000000000006</v>
      </c>
      <c r="O14" s="215">
        <f t="shared" ref="O14:O21" si="4">G14+K14</f>
        <v>4877.2700000000004</v>
      </c>
      <c r="P14" s="197">
        <f t="shared" ref="P14:P21" si="5">H14+L14</f>
        <v>1630.23</v>
      </c>
      <c r="Q14" s="216">
        <f t="shared" ref="Q14:Q21" si="6">I14+M14</f>
        <v>206.81</v>
      </c>
      <c r="R14" s="312">
        <f t="shared" si="3"/>
        <v>6714.31</v>
      </c>
      <c r="S14" s="215">
        <f t="shared" ref="S14:S21" si="7">C14-O14</f>
        <v>2287.7299999999996</v>
      </c>
      <c r="T14" s="197">
        <f t="shared" ref="T14:T21" si="8">D14-P14</f>
        <v>519.77</v>
      </c>
      <c r="U14" s="216">
        <f t="shared" ref="U14:U21" si="9">E14-Q14</f>
        <v>117.71999999999997</v>
      </c>
      <c r="V14" s="217">
        <f t="shared" ref="V14:V18" si="10">S14+T14+U14</f>
        <v>2925.2199999999993</v>
      </c>
      <c r="X14" s="1075"/>
      <c r="Y14" s="1075"/>
      <c r="Z14" s="1075"/>
      <c r="AA14" s="1075"/>
    </row>
    <row r="15" spans="1:256" ht="32.25" customHeight="1" x14ac:dyDescent="0.2">
      <c r="A15" s="214">
        <v>3</v>
      </c>
      <c r="B15" s="387" t="s">
        <v>137</v>
      </c>
      <c r="C15" s="215">
        <v>266</v>
      </c>
      <c r="D15" s="197">
        <v>80</v>
      </c>
      <c r="E15" s="216">
        <v>12</v>
      </c>
      <c r="F15" s="312">
        <f t="shared" si="0"/>
        <v>358</v>
      </c>
      <c r="G15" s="215">
        <v>225.81</v>
      </c>
      <c r="H15" s="197">
        <v>75.47</v>
      </c>
      <c r="I15" s="216">
        <v>9.57</v>
      </c>
      <c r="J15" s="312">
        <f t="shared" si="1"/>
        <v>310.84999999999997</v>
      </c>
      <c r="K15" s="215">
        <v>0</v>
      </c>
      <c r="L15" s="197">
        <v>0</v>
      </c>
      <c r="M15" s="216">
        <v>0</v>
      </c>
      <c r="N15" s="312">
        <f t="shared" si="2"/>
        <v>0</v>
      </c>
      <c r="O15" s="215">
        <f t="shared" si="4"/>
        <v>225.81</v>
      </c>
      <c r="P15" s="197">
        <f t="shared" si="5"/>
        <v>75.47</v>
      </c>
      <c r="Q15" s="216">
        <f t="shared" si="6"/>
        <v>9.57</v>
      </c>
      <c r="R15" s="312">
        <f t="shared" si="3"/>
        <v>310.84999999999997</v>
      </c>
      <c r="S15" s="215">
        <f t="shared" si="7"/>
        <v>40.19</v>
      </c>
      <c r="T15" s="197">
        <f t="shared" si="8"/>
        <v>4.5300000000000011</v>
      </c>
      <c r="U15" s="216">
        <f t="shared" si="9"/>
        <v>2.4299999999999997</v>
      </c>
      <c r="V15" s="217">
        <f t="shared" si="10"/>
        <v>47.15</v>
      </c>
    </row>
    <row r="16" spans="1:256" ht="32.25" customHeight="1" x14ac:dyDescent="0.2">
      <c r="A16" s="214">
        <v>4</v>
      </c>
      <c r="B16" s="388" t="s">
        <v>138</v>
      </c>
      <c r="C16" s="215">
        <v>150</v>
      </c>
      <c r="D16" s="197">
        <v>50</v>
      </c>
      <c r="E16" s="216">
        <v>6</v>
      </c>
      <c r="F16" s="312">
        <f t="shared" si="0"/>
        <v>206</v>
      </c>
      <c r="G16" s="215">
        <v>140.26</v>
      </c>
      <c r="H16" s="197">
        <v>46.88</v>
      </c>
      <c r="I16" s="216">
        <v>5.95</v>
      </c>
      <c r="J16" s="312">
        <f t="shared" si="1"/>
        <v>193.08999999999997</v>
      </c>
      <c r="K16" s="215">
        <v>0</v>
      </c>
      <c r="L16" s="197">
        <v>0</v>
      </c>
      <c r="M16" s="216">
        <v>0</v>
      </c>
      <c r="N16" s="312">
        <f t="shared" si="2"/>
        <v>0</v>
      </c>
      <c r="O16" s="215">
        <f t="shared" si="4"/>
        <v>140.26</v>
      </c>
      <c r="P16" s="197">
        <f t="shared" si="5"/>
        <v>46.88</v>
      </c>
      <c r="Q16" s="216">
        <f t="shared" si="6"/>
        <v>5.95</v>
      </c>
      <c r="R16" s="312">
        <f t="shared" si="3"/>
        <v>193.08999999999997</v>
      </c>
      <c r="S16" s="215">
        <f t="shared" si="7"/>
        <v>9.7400000000000091</v>
      </c>
      <c r="T16" s="197">
        <f t="shared" si="8"/>
        <v>3.1199999999999974</v>
      </c>
      <c r="U16" s="216">
        <f t="shared" si="9"/>
        <v>4.9999999999999822E-2</v>
      </c>
      <c r="V16" s="217">
        <f t="shared" si="10"/>
        <v>12.910000000000007</v>
      </c>
    </row>
    <row r="17" spans="1:36" ht="32.25" customHeight="1" x14ac:dyDescent="0.2">
      <c r="A17" s="214">
        <v>5</v>
      </c>
      <c r="B17" s="387" t="s">
        <v>139</v>
      </c>
      <c r="C17" s="215">
        <v>4880.46</v>
      </c>
      <c r="D17" s="197">
        <v>1453.08</v>
      </c>
      <c r="E17" s="216">
        <v>222.85</v>
      </c>
      <c r="F17" s="312">
        <f t="shared" si="0"/>
        <v>6556.39</v>
      </c>
      <c r="G17" s="215">
        <v>1786.6</v>
      </c>
      <c r="H17" s="197">
        <v>597.17999999999995</v>
      </c>
      <c r="I17" s="216">
        <v>75.75</v>
      </c>
      <c r="J17" s="312">
        <f t="shared" si="1"/>
        <v>2459.5299999999997</v>
      </c>
      <c r="K17" s="215">
        <v>2171.15</v>
      </c>
      <c r="L17" s="197">
        <v>725.71</v>
      </c>
      <c r="M17" s="216">
        <v>92.06</v>
      </c>
      <c r="N17" s="312">
        <f t="shared" si="2"/>
        <v>2988.92</v>
      </c>
      <c r="O17" s="215">
        <f t="shared" si="4"/>
        <v>3957.75</v>
      </c>
      <c r="P17" s="197">
        <f t="shared" si="5"/>
        <v>1322.8899999999999</v>
      </c>
      <c r="Q17" s="216">
        <f t="shared" si="6"/>
        <v>167.81</v>
      </c>
      <c r="R17" s="312">
        <f t="shared" si="3"/>
        <v>5448.45</v>
      </c>
      <c r="S17" s="215">
        <f t="shared" si="7"/>
        <v>922.71</v>
      </c>
      <c r="T17" s="197">
        <f t="shared" si="8"/>
        <v>130.19000000000005</v>
      </c>
      <c r="U17" s="216">
        <f t="shared" si="9"/>
        <v>55.039999999999992</v>
      </c>
      <c r="V17" s="217">
        <f t="shared" si="10"/>
        <v>1107.94</v>
      </c>
    </row>
    <row r="18" spans="1:36" s="727" customFormat="1" ht="25.5" x14ac:dyDescent="0.2">
      <c r="A18" s="269">
        <v>6</v>
      </c>
      <c r="B18" s="801" t="s">
        <v>1062</v>
      </c>
      <c r="C18" s="215">
        <v>217.92</v>
      </c>
      <c r="D18" s="197">
        <v>72.84</v>
      </c>
      <c r="E18" s="731">
        <v>9.24</v>
      </c>
      <c r="F18" s="312">
        <f>C18+D18+E18</f>
        <v>300</v>
      </c>
      <c r="G18" s="215">
        <v>0</v>
      </c>
      <c r="H18" s="197">
        <v>0</v>
      </c>
      <c r="I18" s="197">
        <v>0</v>
      </c>
      <c r="J18" s="312">
        <f t="shared" si="1"/>
        <v>0</v>
      </c>
      <c r="K18" s="215">
        <v>217.92</v>
      </c>
      <c r="L18" s="197">
        <v>72.84</v>
      </c>
      <c r="M18" s="216">
        <v>9.24</v>
      </c>
      <c r="N18" s="312">
        <f t="shared" si="2"/>
        <v>300</v>
      </c>
      <c r="O18" s="215">
        <f t="shared" si="4"/>
        <v>217.92</v>
      </c>
      <c r="P18" s="197">
        <f t="shared" si="5"/>
        <v>72.84</v>
      </c>
      <c r="Q18" s="216">
        <f t="shared" si="6"/>
        <v>9.24</v>
      </c>
      <c r="R18" s="312">
        <f t="shared" si="3"/>
        <v>300</v>
      </c>
      <c r="S18" s="215">
        <f>C18-O18</f>
        <v>0</v>
      </c>
      <c r="T18" s="197">
        <f t="shared" si="8"/>
        <v>0</v>
      </c>
      <c r="U18" s="216">
        <f t="shared" si="9"/>
        <v>0</v>
      </c>
      <c r="V18" s="217">
        <f t="shared" si="10"/>
        <v>0</v>
      </c>
    </row>
    <row r="19" spans="1:36" s="799" customFormat="1" ht="38.25" x14ac:dyDescent="0.2">
      <c r="A19" s="214">
        <v>7</v>
      </c>
      <c r="B19" s="801" t="s">
        <v>1063</v>
      </c>
      <c r="C19" s="215">
        <v>0</v>
      </c>
      <c r="D19" s="197">
        <v>0</v>
      </c>
      <c r="E19" s="731">
        <v>0</v>
      </c>
      <c r="F19" s="312">
        <f>C19+D19+E19</f>
        <v>0</v>
      </c>
      <c r="G19" s="215">
        <v>0</v>
      </c>
      <c r="H19" s="197">
        <v>0</v>
      </c>
      <c r="I19" s="197">
        <v>0</v>
      </c>
      <c r="J19" s="312">
        <f t="shared" si="1"/>
        <v>0</v>
      </c>
      <c r="K19" s="215">
        <v>730</v>
      </c>
      <c r="L19" s="197">
        <v>244</v>
      </c>
      <c r="M19" s="216">
        <v>30.95</v>
      </c>
      <c r="N19" s="312">
        <f t="shared" si="2"/>
        <v>1004.95</v>
      </c>
      <c r="O19" s="215">
        <f t="shared" si="4"/>
        <v>730</v>
      </c>
      <c r="P19" s="197">
        <f t="shared" si="5"/>
        <v>244</v>
      </c>
      <c r="Q19" s="216">
        <f t="shared" si="6"/>
        <v>30.95</v>
      </c>
      <c r="R19" s="312">
        <f t="shared" si="3"/>
        <v>1004.95</v>
      </c>
      <c r="S19" s="215">
        <v>0</v>
      </c>
      <c r="T19" s="197">
        <v>0</v>
      </c>
      <c r="U19" s="216">
        <v>0</v>
      </c>
      <c r="V19" s="217">
        <v>0</v>
      </c>
    </row>
    <row r="20" spans="1:36" s="727" customFormat="1" ht="38.25" x14ac:dyDescent="0.2">
      <c r="A20" s="269">
        <v>8</v>
      </c>
      <c r="B20" s="728" t="s">
        <v>776</v>
      </c>
      <c r="C20" s="215">
        <v>192.56</v>
      </c>
      <c r="D20" s="197">
        <v>64.37</v>
      </c>
      <c r="E20" s="216">
        <v>8.16</v>
      </c>
      <c r="F20" s="312">
        <f t="shared" si="0"/>
        <v>265.09000000000003</v>
      </c>
      <c r="G20" s="215">
        <v>0</v>
      </c>
      <c r="H20" s="197">
        <v>0</v>
      </c>
      <c r="I20" s="197">
        <v>0</v>
      </c>
      <c r="J20" s="312">
        <f t="shared" si="1"/>
        <v>0</v>
      </c>
      <c r="K20" s="215">
        <v>192.56</v>
      </c>
      <c r="L20" s="197">
        <v>64.37</v>
      </c>
      <c r="M20" s="216">
        <v>8.16</v>
      </c>
      <c r="N20" s="312">
        <f t="shared" si="2"/>
        <v>265.09000000000003</v>
      </c>
      <c r="O20" s="215">
        <f>G20+K20</f>
        <v>192.56</v>
      </c>
      <c r="P20" s="197">
        <f t="shared" si="5"/>
        <v>64.37</v>
      </c>
      <c r="Q20" s="216">
        <f t="shared" si="6"/>
        <v>8.16</v>
      </c>
      <c r="R20" s="312">
        <f t="shared" si="3"/>
        <v>265.09000000000003</v>
      </c>
      <c r="S20" s="215">
        <f>C20-O20</f>
        <v>0</v>
      </c>
      <c r="T20" s="197">
        <f t="shared" si="8"/>
        <v>0</v>
      </c>
      <c r="U20" s="216">
        <f t="shared" si="9"/>
        <v>0</v>
      </c>
      <c r="V20" s="217">
        <f t="shared" ref="V20:V21" si="11">S20+T20+U20</f>
        <v>0</v>
      </c>
    </row>
    <row r="21" spans="1:36" ht="32.25" customHeight="1" x14ac:dyDescent="0.2">
      <c r="A21" s="214">
        <v>9</v>
      </c>
      <c r="B21" s="387" t="s">
        <v>385</v>
      </c>
      <c r="C21" s="215">
        <v>29.06</v>
      </c>
      <c r="D21" s="197">
        <v>9.7100000000000009</v>
      </c>
      <c r="E21" s="216">
        <v>1.23</v>
      </c>
      <c r="F21" s="312">
        <f t="shared" si="0"/>
        <v>39.999999999999993</v>
      </c>
      <c r="G21" s="215">
        <v>0</v>
      </c>
      <c r="H21" s="197">
        <v>0</v>
      </c>
      <c r="I21" s="216">
        <v>0</v>
      </c>
      <c r="J21" s="312">
        <f t="shared" si="1"/>
        <v>0</v>
      </c>
      <c r="K21" s="215">
        <v>29.06</v>
      </c>
      <c r="L21" s="197">
        <v>9.7100000000000009</v>
      </c>
      <c r="M21" s="216">
        <v>1.23</v>
      </c>
      <c r="N21" s="312">
        <f t="shared" si="2"/>
        <v>39.999999999999993</v>
      </c>
      <c r="O21" s="215">
        <f t="shared" si="4"/>
        <v>29.06</v>
      </c>
      <c r="P21" s="197">
        <f t="shared" si="5"/>
        <v>9.7100000000000009</v>
      </c>
      <c r="Q21" s="216">
        <f t="shared" si="6"/>
        <v>1.23</v>
      </c>
      <c r="R21" s="312">
        <f t="shared" si="3"/>
        <v>39.999999999999993</v>
      </c>
      <c r="S21" s="215">
        <f t="shared" si="7"/>
        <v>0</v>
      </c>
      <c r="T21" s="197">
        <f t="shared" si="8"/>
        <v>0</v>
      </c>
      <c r="U21" s="216">
        <f t="shared" si="9"/>
        <v>0</v>
      </c>
      <c r="V21" s="217">
        <f t="shared" si="11"/>
        <v>0</v>
      </c>
    </row>
    <row r="22" spans="1:36" s="11" customFormat="1" ht="32.25" customHeight="1" x14ac:dyDescent="0.2">
      <c r="A22" s="214"/>
      <c r="B22" s="387" t="s">
        <v>18</v>
      </c>
      <c r="C22" s="304">
        <f>SUM(C13:C21)</f>
        <v>13299.999999999998</v>
      </c>
      <c r="D22" s="198">
        <f t="shared" ref="D22:V22" si="12">SUM(D13:D21)</f>
        <v>4000</v>
      </c>
      <c r="E22" s="396">
        <f t="shared" si="12"/>
        <v>600</v>
      </c>
      <c r="F22" s="306">
        <f t="shared" si="12"/>
        <v>17900</v>
      </c>
      <c r="G22" s="304">
        <f>SUM(G13:G21)</f>
        <v>6885.02</v>
      </c>
      <c r="H22" s="198">
        <f t="shared" si="12"/>
        <v>2301.3200000000002</v>
      </c>
      <c r="I22" s="396">
        <f t="shared" si="12"/>
        <v>291.92999999999995</v>
      </c>
      <c r="J22" s="406">
        <f t="shared" si="12"/>
        <v>9478.27</v>
      </c>
      <c r="K22" s="304">
        <f t="shared" si="12"/>
        <v>3828.41</v>
      </c>
      <c r="L22" s="198">
        <f t="shared" si="12"/>
        <v>1279.6500000000001</v>
      </c>
      <c r="M22" s="396">
        <f t="shared" si="12"/>
        <v>162.32999999999998</v>
      </c>
      <c r="N22" s="305">
        <f t="shared" si="12"/>
        <v>5270.39</v>
      </c>
      <c r="O22" s="304">
        <f t="shared" si="12"/>
        <v>10713.43</v>
      </c>
      <c r="P22" s="198">
        <f t="shared" si="12"/>
        <v>3580.9700000000003</v>
      </c>
      <c r="Q22" s="396">
        <f t="shared" si="12"/>
        <v>454.26</v>
      </c>
      <c r="R22" s="306">
        <f t="shared" si="12"/>
        <v>14748.660000000002</v>
      </c>
      <c r="S22" s="406">
        <f t="shared" si="12"/>
        <v>3316.5699999999997</v>
      </c>
      <c r="T22" s="198">
        <f t="shared" si="12"/>
        <v>663.03</v>
      </c>
      <c r="U22" s="393">
        <f t="shared" si="12"/>
        <v>176.68999999999994</v>
      </c>
      <c r="V22" s="306">
        <f t="shared" si="12"/>
        <v>4156.2899999999991</v>
      </c>
    </row>
    <row r="23" spans="1:36" ht="32.25" customHeight="1" x14ac:dyDescent="0.2">
      <c r="A23" s="214"/>
      <c r="B23" s="389" t="s">
        <v>256</v>
      </c>
      <c r="C23" s="215"/>
      <c r="D23" s="197"/>
      <c r="E23" s="216"/>
      <c r="F23" s="306"/>
      <c r="G23" s="215"/>
      <c r="H23" s="197"/>
      <c r="I23" s="216"/>
      <c r="J23" s="406"/>
      <c r="K23" s="215"/>
      <c r="L23" s="197"/>
      <c r="M23" s="216"/>
      <c r="N23" s="305"/>
      <c r="O23" s="215"/>
      <c r="P23" s="197"/>
      <c r="Q23" s="216"/>
      <c r="R23" s="306"/>
      <c r="S23" s="215"/>
      <c r="T23" s="197"/>
      <c r="U23" s="216"/>
      <c r="V23" s="217"/>
    </row>
    <row r="24" spans="1:36" ht="32.25" customHeight="1" x14ac:dyDescent="0.2">
      <c r="A24" s="214">
        <v>7</v>
      </c>
      <c r="B24" s="386" t="s">
        <v>197</v>
      </c>
      <c r="C24" s="215">
        <v>0</v>
      </c>
      <c r="D24" s="197">
        <v>0</v>
      </c>
      <c r="E24" s="216">
        <v>0</v>
      </c>
      <c r="F24" s="312">
        <f>C24+D24+E24</f>
        <v>0</v>
      </c>
      <c r="G24" s="215">
        <v>0</v>
      </c>
      <c r="H24" s="197">
        <v>0</v>
      </c>
      <c r="I24" s="216">
        <v>0</v>
      </c>
      <c r="J24" s="408">
        <f>G24+H24+I24</f>
        <v>0</v>
      </c>
      <c r="K24" s="215">
        <v>0</v>
      </c>
      <c r="L24" s="197">
        <v>0</v>
      </c>
      <c r="M24" s="216">
        <v>0</v>
      </c>
      <c r="N24" s="308">
        <f>K24+L24+M24</f>
        <v>0</v>
      </c>
      <c r="O24" s="215">
        <f t="shared" ref="O24:O25" si="13">G24+K24</f>
        <v>0</v>
      </c>
      <c r="P24" s="197">
        <f t="shared" ref="P24:P25" si="14">H24+L24</f>
        <v>0</v>
      </c>
      <c r="Q24" s="216">
        <f t="shared" ref="Q24:Q25" si="15">I24+M24</f>
        <v>0</v>
      </c>
      <c r="R24" s="306">
        <f>O24+P24+Q24</f>
        <v>0</v>
      </c>
      <c r="S24" s="215">
        <f>C24-O24</f>
        <v>0</v>
      </c>
      <c r="T24" s="197">
        <f>D24-P24</f>
        <v>0</v>
      </c>
      <c r="U24" s="216">
        <f t="shared" ref="U24:U25" si="16">E24-Q24</f>
        <v>0</v>
      </c>
      <c r="V24" s="217">
        <f t="shared" ref="V24:V25" si="17">S24+T24+U24</f>
        <v>0</v>
      </c>
    </row>
    <row r="25" spans="1:36" ht="32.25" customHeight="1" x14ac:dyDescent="0.2">
      <c r="A25" s="313">
        <v>8</v>
      </c>
      <c r="B25" s="390" t="s">
        <v>141</v>
      </c>
      <c r="C25" s="215">
        <v>0</v>
      </c>
      <c r="D25" s="197">
        <v>0</v>
      </c>
      <c r="E25" s="216">
        <v>0</v>
      </c>
      <c r="F25" s="312">
        <f>C25+D25+E25</f>
        <v>0</v>
      </c>
      <c r="G25" s="215">
        <v>0</v>
      </c>
      <c r="H25" s="197">
        <v>0</v>
      </c>
      <c r="I25" s="216">
        <v>0</v>
      </c>
      <c r="J25" s="408">
        <f>G25+H25+I25</f>
        <v>0</v>
      </c>
      <c r="K25" s="215">
        <v>0</v>
      </c>
      <c r="L25" s="197">
        <v>0</v>
      </c>
      <c r="M25" s="216">
        <v>0</v>
      </c>
      <c r="N25" s="308">
        <f>K25+L25+M25</f>
        <v>0</v>
      </c>
      <c r="O25" s="215">
        <f t="shared" si="13"/>
        <v>0</v>
      </c>
      <c r="P25" s="197">
        <f t="shared" si="14"/>
        <v>0</v>
      </c>
      <c r="Q25" s="216">
        <f t="shared" si="15"/>
        <v>0</v>
      </c>
      <c r="R25" s="306">
        <f>O25+P25+Q25</f>
        <v>0</v>
      </c>
      <c r="S25" s="215">
        <f>C25-O25</f>
        <v>0</v>
      </c>
      <c r="T25" s="314">
        <f>D25-P25</f>
        <v>0</v>
      </c>
      <c r="U25" s="315">
        <f t="shared" si="16"/>
        <v>0</v>
      </c>
      <c r="V25" s="217">
        <f t="shared" si="17"/>
        <v>0</v>
      </c>
    </row>
    <row r="26" spans="1:36" s="317" customFormat="1" ht="32.25" customHeight="1" x14ac:dyDescent="0.2">
      <c r="A26" s="232"/>
      <c r="B26" s="391" t="s">
        <v>18</v>
      </c>
      <c r="C26" s="304">
        <f>SUM(C24:C25)</f>
        <v>0</v>
      </c>
      <c r="D26" s="198">
        <f t="shared" ref="D26:V26" si="18">SUM(D24:D25)</f>
        <v>0</v>
      </c>
      <c r="E26" s="396">
        <f t="shared" si="18"/>
        <v>0</v>
      </c>
      <c r="F26" s="316">
        <f t="shared" si="18"/>
        <v>0</v>
      </c>
      <c r="G26" s="304">
        <f t="shared" si="18"/>
        <v>0</v>
      </c>
      <c r="H26" s="198">
        <f>SUM(H24:H25)</f>
        <v>0</v>
      </c>
      <c r="I26" s="396">
        <f t="shared" si="18"/>
        <v>0</v>
      </c>
      <c r="J26" s="409">
        <f t="shared" si="18"/>
        <v>0</v>
      </c>
      <c r="K26" s="304">
        <f t="shared" si="18"/>
        <v>0</v>
      </c>
      <c r="L26" s="198">
        <f t="shared" si="18"/>
        <v>0</v>
      </c>
      <c r="M26" s="396">
        <f t="shared" si="18"/>
        <v>0</v>
      </c>
      <c r="N26" s="305">
        <f t="shared" si="18"/>
        <v>0</v>
      </c>
      <c r="O26" s="304">
        <f t="shared" si="18"/>
        <v>0</v>
      </c>
      <c r="P26" s="198">
        <f t="shared" si="18"/>
        <v>0</v>
      </c>
      <c r="Q26" s="396">
        <f t="shared" si="18"/>
        <v>0</v>
      </c>
      <c r="R26" s="306">
        <f t="shared" si="18"/>
        <v>0</v>
      </c>
      <c r="S26" s="304">
        <f t="shared" si="18"/>
        <v>0</v>
      </c>
      <c r="T26" s="307">
        <f t="shared" si="18"/>
        <v>0</v>
      </c>
      <c r="U26" s="393">
        <f t="shared" si="18"/>
        <v>0</v>
      </c>
      <c r="V26" s="306">
        <f t="shared" si="18"/>
        <v>0</v>
      </c>
    </row>
    <row r="27" spans="1:36" s="11" customFormat="1" ht="32.25" customHeight="1" thickBot="1" x14ac:dyDescent="0.25">
      <c r="A27" s="232"/>
      <c r="B27" s="392" t="s">
        <v>36</v>
      </c>
      <c r="C27" s="442">
        <f>C22+C26</f>
        <v>13299.999999999998</v>
      </c>
      <c r="D27" s="443">
        <f t="shared" ref="D27:V27" si="19">D22+D26</f>
        <v>4000</v>
      </c>
      <c r="E27" s="444">
        <f>E22+E26</f>
        <v>600</v>
      </c>
      <c r="F27" s="411">
        <f t="shared" si="19"/>
        <v>17900</v>
      </c>
      <c r="G27" s="442">
        <f t="shared" si="19"/>
        <v>6885.02</v>
      </c>
      <c r="H27" s="443">
        <f t="shared" si="19"/>
        <v>2301.3200000000002</v>
      </c>
      <c r="I27" s="444">
        <f>I22+I26</f>
        <v>291.92999999999995</v>
      </c>
      <c r="J27" s="444">
        <f>J22+J26</f>
        <v>9478.27</v>
      </c>
      <c r="K27" s="442">
        <f t="shared" si="19"/>
        <v>3828.41</v>
      </c>
      <c r="L27" s="443">
        <f t="shared" si="19"/>
        <v>1279.6500000000001</v>
      </c>
      <c r="M27" s="444">
        <f t="shared" si="19"/>
        <v>162.32999999999998</v>
      </c>
      <c r="N27" s="445">
        <f t="shared" si="19"/>
        <v>5270.39</v>
      </c>
      <c r="O27" s="442">
        <f t="shared" si="19"/>
        <v>10713.43</v>
      </c>
      <c r="P27" s="443">
        <f t="shared" si="19"/>
        <v>3580.9700000000003</v>
      </c>
      <c r="Q27" s="444">
        <f t="shared" si="19"/>
        <v>454.26</v>
      </c>
      <c r="R27" s="411">
        <f t="shared" si="19"/>
        <v>14748.660000000002</v>
      </c>
      <c r="S27" s="442">
        <f t="shared" si="19"/>
        <v>3316.5699999999997</v>
      </c>
      <c r="T27" s="446">
        <f t="shared" si="19"/>
        <v>663.03</v>
      </c>
      <c r="U27" s="447">
        <f t="shared" si="19"/>
        <v>176.68999999999994</v>
      </c>
      <c r="V27" s="411">
        <f t="shared" si="19"/>
        <v>4156.2899999999991</v>
      </c>
    </row>
    <row r="29" spans="1:36" ht="16.5" customHeight="1" x14ac:dyDescent="0.2">
      <c r="A29" s="11" t="s">
        <v>11</v>
      </c>
      <c r="B29" s="11"/>
      <c r="C29" s="11"/>
      <c r="D29" s="11"/>
      <c r="E29" s="11"/>
      <c r="G29" s="11"/>
      <c r="H29" s="11"/>
      <c r="I29" s="11"/>
      <c r="K29" s="11"/>
      <c r="L29" s="11"/>
      <c r="M29" s="11"/>
      <c r="O29" s="11"/>
      <c r="P29" s="11"/>
      <c r="Q29" s="11"/>
      <c r="S29" s="1074" t="s">
        <v>12</v>
      </c>
      <c r="T29" s="1074"/>
      <c r="U29" s="1074"/>
      <c r="W29" s="12"/>
      <c r="X29" s="12"/>
      <c r="Y29" s="12"/>
      <c r="Z29" s="12"/>
      <c r="AD29" s="12"/>
      <c r="AE29" s="12"/>
    </row>
    <row r="30" spans="1:36" ht="12.75" customHeight="1" x14ac:dyDescent="0.2">
      <c r="B30" s="54"/>
      <c r="C30" s="54"/>
      <c r="D30" s="54"/>
      <c r="E30" s="54"/>
      <c r="F30" s="54"/>
      <c r="G30" s="54"/>
      <c r="H30" s="54"/>
      <c r="I30" s="54"/>
      <c r="J30" s="54"/>
      <c r="K30" s="54"/>
      <c r="L30" s="54"/>
      <c r="M30" s="54"/>
      <c r="N30" s="54"/>
      <c r="O30" s="54"/>
      <c r="P30" s="54"/>
      <c r="Q30" s="1073" t="s">
        <v>13</v>
      </c>
      <c r="R30" s="1073"/>
      <c r="S30" s="1073"/>
      <c r="T30" s="1073"/>
      <c r="U30" s="1073"/>
      <c r="V30" s="1073"/>
      <c r="W30" s="54"/>
      <c r="X30" s="54"/>
      <c r="Y30" s="54"/>
      <c r="Z30" s="54"/>
      <c r="AA30" s="54"/>
      <c r="AB30" s="54"/>
      <c r="AC30" s="54"/>
      <c r="AD30" s="12"/>
      <c r="AE30" s="12"/>
    </row>
    <row r="31" spans="1:36" ht="12.75" customHeight="1" x14ac:dyDescent="0.2">
      <c r="B31" s="54"/>
      <c r="C31" s="54"/>
      <c r="D31" s="54"/>
      <c r="E31" s="54"/>
      <c r="F31" s="54"/>
      <c r="G31" s="54"/>
      <c r="H31" s="54"/>
      <c r="I31" s="54"/>
      <c r="J31" s="54"/>
      <c r="K31" s="54"/>
      <c r="L31" s="54"/>
      <c r="M31" s="54"/>
      <c r="N31" s="54"/>
      <c r="O31" s="54"/>
      <c r="P31" s="54"/>
      <c r="Q31" s="54"/>
      <c r="R31" s="1073" t="s">
        <v>19</v>
      </c>
      <c r="S31" s="1073"/>
      <c r="T31" s="1073"/>
      <c r="U31" s="1073"/>
      <c r="V31" s="1073"/>
      <c r="W31" s="79"/>
      <c r="X31" s="79"/>
      <c r="Y31" s="79"/>
      <c r="Z31" s="79"/>
      <c r="AA31" s="79"/>
      <c r="AB31" s="79"/>
      <c r="AC31" s="79"/>
      <c r="AD31" s="79"/>
      <c r="AE31" s="79"/>
      <c r="AF31" s="79"/>
      <c r="AG31" s="79"/>
      <c r="AH31" s="79"/>
      <c r="AI31" s="79"/>
      <c r="AJ31" s="79"/>
    </row>
    <row r="32" spans="1:36" x14ac:dyDescent="0.2">
      <c r="A32" s="11"/>
      <c r="B32" s="11"/>
      <c r="C32" s="11"/>
      <c r="D32" s="11"/>
      <c r="E32" s="11"/>
      <c r="G32" s="11"/>
      <c r="H32" s="11"/>
      <c r="I32" s="11"/>
      <c r="K32" s="11"/>
      <c r="L32" s="11"/>
      <c r="M32" s="11"/>
      <c r="O32" s="11"/>
      <c r="P32" s="11"/>
      <c r="Q32" s="11"/>
      <c r="S32" s="1" t="s">
        <v>84</v>
      </c>
      <c r="T32" s="1"/>
      <c r="U32" s="1"/>
      <c r="V32" s="301"/>
      <c r="W32" s="11"/>
      <c r="X32" s="11"/>
      <c r="Y32" s="11"/>
      <c r="AD32" s="11"/>
      <c r="AE32" s="11"/>
    </row>
  </sheetData>
  <mergeCells count="20">
    <mergeCell ref="AA7:AC7"/>
    <mergeCell ref="U7:V7"/>
    <mergeCell ref="X14:AA14"/>
    <mergeCell ref="G8:R8"/>
    <mergeCell ref="S8:V9"/>
    <mergeCell ref="Q30:V30"/>
    <mergeCell ref="S29:U29"/>
    <mergeCell ref="R31:V31"/>
    <mergeCell ref="G2:O2"/>
    <mergeCell ref="A6:C6"/>
    <mergeCell ref="B8:B10"/>
    <mergeCell ref="A8:A10"/>
    <mergeCell ref="T2:U2"/>
    <mergeCell ref="A3:V3"/>
    <mergeCell ref="O9:R9"/>
    <mergeCell ref="A4:V4"/>
    <mergeCell ref="A5:V5"/>
    <mergeCell ref="C8:F9"/>
    <mergeCell ref="G9:J9"/>
    <mergeCell ref="K9:N9"/>
  </mergeCells>
  <printOptions horizontalCentered="1"/>
  <pageMargins left="0.31" right="0.39" top="0.36" bottom="0" header="0.39" footer="0.31496062992125984"/>
  <pageSetup paperSize="9" scale="68" orientation="landscape" r:id="rId1"/>
  <colBreaks count="1" manualBreakCount="1">
    <brk id="2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5" tint="0.39997558519241921"/>
    <pageSetUpPr fitToPage="1"/>
  </sheetPr>
  <dimension ref="A1:Q24"/>
  <sheetViews>
    <sheetView view="pageBreakPreview" zoomScaleSheetLayoutView="100" workbookViewId="0">
      <selection activeCell="A9" sqref="A9:Q18"/>
    </sheetView>
  </sheetViews>
  <sheetFormatPr defaultRowHeight="12.75" x14ac:dyDescent="0.2"/>
  <cols>
    <col min="7" max="7" width="10.7109375" customWidth="1"/>
    <col min="8" max="8" width="11.5703125" customWidth="1"/>
    <col min="9" max="12" width="10.42578125" customWidth="1"/>
    <col min="13" max="13" width="11" customWidth="1"/>
    <col min="14" max="14" width="10" customWidth="1"/>
    <col min="15" max="15" width="11.85546875" customWidth="1"/>
    <col min="17" max="17" width="10.5703125" customWidth="1"/>
  </cols>
  <sheetData>
    <row r="1" spans="1:17" x14ac:dyDescent="0.2">
      <c r="P1" s="131" t="s">
        <v>663</v>
      </c>
    </row>
    <row r="2" spans="1:17" ht="18" x14ac:dyDescent="0.35">
      <c r="A2" s="1310" t="s">
        <v>0</v>
      </c>
      <c r="B2" s="1310"/>
      <c r="C2" s="1310"/>
      <c r="D2" s="1310"/>
      <c r="E2" s="1310"/>
      <c r="F2" s="1310"/>
      <c r="G2" s="1310"/>
      <c r="H2" s="1310"/>
      <c r="I2" s="1310"/>
      <c r="J2" s="1310"/>
      <c r="K2" s="1310"/>
      <c r="L2" s="1310"/>
      <c r="M2" s="1310"/>
      <c r="N2" s="1310"/>
      <c r="O2" s="1310"/>
    </row>
    <row r="3" spans="1:17" ht="18" x14ac:dyDescent="0.35">
      <c r="A3" s="1310" t="s">
        <v>788</v>
      </c>
      <c r="B3" s="1310"/>
      <c r="C3" s="1310"/>
      <c r="D3" s="1310"/>
      <c r="E3" s="1310"/>
      <c r="F3" s="1310"/>
      <c r="G3" s="1310"/>
      <c r="H3" s="1310"/>
      <c r="I3" s="1310"/>
      <c r="J3" s="1310"/>
      <c r="K3" s="1310"/>
      <c r="L3" s="1310"/>
      <c r="M3" s="1310"/>
      <c r="N3" s="1310"/>
      <c r="O3" s="1310"/>
    </row>
    <row r="4" spans="1:17" ht="18.75" x14ac:dyDescent="0.3">
      <c r="A4" s="1288" t="s">
        <v>664</v>
      </c>
      <c r="B4" s="1288"/>
      <c r="C4" s="1288"/>
      <c r="D4" s="1288"/>
      <c r="E4" s="1288"/>
      <c r="F4" s="1288"/>
      <c r="G4" s="1288"/>
      <c r="H4" s="1288"/>
      <c r="I4" s="1288"/>
      <c r="J4" s="1288"/>
      <c r="K4" s="1288"/>
      <c r="L4" s="1288"/>
      <c r="M4" s="1288"/>
      <c r="N4" s="1288"/>
      <c r="O4" s="1288"/>
      <c r="P4" s="1288"/>
      <c r="Q4" s="1288"/>
    </row>
    <row r="5" spans="1:17" ht="15" x14ac:dyDescent="0.3">
      <c r="A5" s="1075" t="s">
        <v>456</v>
      </c>
      <c r="B5" s="1075"/>
      <c r="C5" s="1075"/>
      <c r="D5" s="112"/>
      <c r="E5" s="112"/>
      <c r="F5" s="112"/>
      <c r="G5" s="112"/>
      <c r="H5" s="112"/>
      <c r="I5" s="112"/>
      <c r="J5" s="112"/>
      <c r="K5" s="111"/>
      <c r="O5" s="1200" t="s">
        <v>795</v>
      </c>
      <c r="P5" s="1200"/>
      <c r="Q5" s="1200"/>
    </row>
    <row r="6" spans="1:17" ht="47.25" customHeight="1" x14ac:dyDescent="0.2">
      <c r="A6" s="1282" t="s">
        <v>2</v>
      </c>
      <c r="B6" s="1282" t="s">
        <v>3</v>
      </c>
      <c r="C6" s="1282" t="s">
        <v>461</v>
      </c>
      <c r="D6" s="1286" t="s">
        <v>335</v>
      </c>
      <c r="E6" s="1286" t="s">
        <v>336</v>
      </c>
      <c r="F6" s="1286" t="s">
        <v>337</v>
      </c>
      <c r="G6" s="1286" t="s">
        <v>338</v>
      </c>
      <c r="H6" s="1282" t="s">
        <v>339</v>
      </c>
      <c r="I6" s="1282"/>
      <c r="J6" s="1282" t="s">
        <v>340</v>
      </c>
      <c r="K6" s="1282"/>
      <c r="L6" s="1282" t="s">
        <v>341</v>
      </c>
      <c r="M6" s="1282"/>
      <c r="N6" s="1282" t="s">
        <v>342</v>
      </c>
      <c r="O6" s="1282"/>
      <c r="P6" s="1145" t="s">
        <v>542</v>
      </c>
      <c r="Q6" s="1145"/>
    </row>
    <row r="7" spans="1:17" ht="60.75" customHeight="1" x14ac:dyDescent="0.2">
      <c r="A7" s="1282"/>
      <c r="B7" s="1282"/>
      <c r="C7" s="1282"/>
      <c r="D7" s="1287"/>
      <c r="E7" s="1287"/>
      <c r="F7" s="1287"/>
      <c r="G7" s="1287"/>
      <c r="H7" s="226" t="s">
        <v>343</v>
      </c>
      <c r="I7" s="226" t="s">
        <v>344</v>
      </c>
      <c r="J7" s="226" t="s">
        <v>343</v>
      </c>
      <c r="K7" s="226" t="s">
        <v>344</v>
      </c>
      <c r="L7" s="226" t="s">
        <v>343</v>
      </c>
      <c r="M7" s="226" t="s">
        <v>344</v>
      </c>
      <c r="N7" s="226" t="s">
        <v>343</v>
      </c>
      <c r="O7" s="226" t="s">
        <v>344</v>
      </c>
      <c r="P7" s="226" t="s">
        <v>343</v>
      </c>
      <c r="Q7" s="226" t="s">
        <v>344</v>
      </c>
    </row>
    <row r="8" spans="1:17" ht="15" x14ac:dyDescent="0.2">
      <c r="A8" s="218" t="s">
        <v>287</v>
      </c>
      <c r="B8" s="218" t="s">
        <v>288</v>
      </c>
      <c r="C8" s="218" t="s">
        <v>289</v>
      </c>
      <c r="D8" s="218" t="s">
        <v>290</v>
      </c>
      <c r="E8" s="218" t="s">
        <v>291</v>
      </c>
      <c r="F8" s="218" t="s">
        <v>292</v>
      </c>
      <c r="G8" s="218" t="s">
        <v>293</v>
      </c>
      <c r="H8" s="218" t="s">
        <v>294</v>
      </c>
      <c r="I8" s="218" t="s">
        <v>315</v>
      </c>
      <c r="J8" s="218" t="s">
        <v>316</v>
      </c>
      <c r="K8" s="218" t="s">
        <v>317</v>
      </c>
      <c r="L8" s="218" t="s">
        <v>345</v>
      </c>
      <c r="M8" s="218" t="s">
        <v>346</v>
      </c>
      <c r="N8" s="218" t="s">
        <v>347</v>
      </c>
      <c r="O8" s="218" t="s">
        <v>348</v>
      </c>
      <c r="P8" s="299" t="s">
        <v>543</v>
      </c>
      <c r="Q8" s="299" t="s">
        <v>544</v>
      </c>
    </row>
    <row r="9" spans="1:17" ht="12.75" customHeight="1" x14ac:dyDescent="0.2">
      <c r="A9" s="1429" t="s">
        <v>399</v>
      </c>
      <c r="B9" s="1430"/>
      <c r="C9" s="1430"/>
      <c r="D9" s="1430"/>
      <c r="E9" s="1430"/>
      <c r="F9" s="1430"/>
      <c r="G9" s="1430"/>
      <c r="H9" s="1430"/>
      <c r="I9" s="1430"/>
      <c r="J9" s="1430"/>
      <c r="K9" s="1430"/>
      <c r="L9" s="1430"/>
      <c r="M9" s="1430"/>
      <c r="N9" s="1430"/>
      <c r="O9" s="1430"/>
      <c r="P9" s="1430"/>
      <c r="Q9" s="1431"/>
    </row>
    <row r="10" spans="1:17" ht="12.75" customHeight="1" x14ac:dyDescent="0.2">
      <c r="A10" s="1432"/>
      <c r="B10" s="1433"/>
      <c r="C10" s="1433"/>
      <c r="D10" s="1433"/>
      <c r="E10" s="1433"/>
      <c r="F10" s="1433"/>
      <c r="G10" s="1433"/>
      <c r="H10" s="1433"/>
      <c r="I10" s="1433"/>
      <c r="J10" s="1433"/>
      <c r="K10" s="1433"/>
      <c r="L10" s="1433"/>
      <c r="M10" s="1433"/>
      <c r="N10" s="1433"/>
      <c r="O10" s="1433"/>
      <c r="P10" s="1433"/>
      <c r="Q10" s="1434"/>
    </row>
    <row r="11" spans="1:17" ht="12.75" customHeight="1" x14ac:dyDescent="0.2">
      <c r="A11" s="1432"/>
      <c r="B11" s="1433"/>
      <c r="C11" s="1433"/>
      <c r="D11" s="1433"/>
      <c r="E11" s="1433"/>
      <c r="F11" s="1433"/>
      <c r="G11" s="1433"/>
      <c r="H11" s="1433"/>
      <c r="I11" s="1433"/>
      <c r="J11" s="1433"/>
      <c r="K11" s="1433"/>
      <c r="L11" s="1433"/>
      <c r="M11" s="1433"/>
      <c r="N11" s="1433"/>
      <c r="O11" s="1433"/>
      <c r="P11" s="1433"/>
      <c r="Q11" s="1434"/>
    </row>
    <row r="12" spans="1:17" ht="12.75" customHeight="1" x14ac:dyDescent="0.2">
      <c r="A12" s="1432"/>
      <c r="B12" s="1433"/>
      <c r="C12" s="1433"/>
      <c r="D12" s="1433"/>
      <c r="E12" s="1433"/>
      <c r="F12" s="1433"/>
      <c r="G12" s="1433"/>
      <c r="H12" s="1433"/>
      <c r="I12" s="1433"/>
      <c r="J12" s="1433"/>
      <c r="K12" s="1433"/>
      <c r="L12" s="1433"/>
      <c r="M12" s="1433"/>
      <c r="N12" s="1433"/>
      <c r="O12" s="1433"/>
      <c r="P12" s="1433"/>
      <c r="Q12" s="1434"/>
    </row>
    <row r="13" spans="1:17" ht="12.75" customHeight="1" x14ac:dyDescent="0.2">
      <c r="A13" s="1432"/>
      <c r="B13" s="1433"/>
      <c r="C13" s="1433"/>
      <c r="D13" s="1433"/>
      <c r="E13" s="1433"/>
      <c r="F13" s="1433"/>
      <c r="G13" s="1433"/>
      <c r="H13" s="1433"/>
      <c r="I13" s="1433"/>
      <c r="J13" s="1433"/>
      <c r="K13" s="1433"/>
      <c r="L13" s="1433"/>
      <c r="M13" s="1433"/>
      <c r="N13" s="1433"/>
      <c r="O13" s="1433"/>
      <c r="P13" s="1433"/>
      <c r="Q13" s="1434"/>
    </row>
    <row r="14" spans="1:17" ht="12.75" customHeight="1" x14ac:dyDescent="0.2">
      <c r="A14" s="1432"/>
      <c r="B14" s="1433"/>
      <c r="C14" s="1433"/>
      <c r="D14" s="1433"/>
      <c r="E14" s="1433"/>
      <c r="F14" s="1433"/>
      <c r="G14" s="1433"/>
      <c r="H14" s="1433"/>
      <c r="I14" s="1433"/>
      <c r="J14" s="1433"/>
      <c r="K14" s="1433"/>
      <c r="L14" s="1433"/>
      <c r="M14" s="1433"/>
      <c r="N14" s="1433"/>
      <c r="O14" s="1433"/>
      <c r="P14" s="1433"/>
      <c r="Q14" s="1434"/>
    </row>
    <row r="15" spans="1:17" ht="12.75" customHeight="1" x14ac:dyDescent="0.2">
      <c r="A15" s="1432"/>
      <c r="B15" s="1433"/>
      <c r="C15" s="1433"/>
      <c r="D15" s="1433"/>
      <c r="E15" s="1433"/>
      <c r="F15" s="1433"/>
      <c r="G15" s="1433"/>
      <c r="H15" s="1433"/>
      <c r="I15" s="1433"/>
      <c r="J15" s="1433"/>
      <c r="K15" s="1433"/>
      <c r="L15" s="1433"/>
      <c r="M15" s="1433"/>
      <c r="N15" s="1433"/>
      <c r="O15" s="1433"/>
      <c r="P15" s="1433"/>
      <c r="Q15" s="1434"/>
    </row>
    <row r="16" spans="1:17" ht="12.75" customHeight="1" x14ac:dyDescent="0.2">
      <c r="A16" s="1432"/>
      <c r="B16" s="1433"/>
      <c r="C16" s="1433"/>
      <c r="D16" s="1433"/>
      <c r="E16" s="1433"/>
      <c r="F16" s="1433"/>
      <c r="G16" s="1433"/>
      <c r="H16" s="1433"/>
      <c r="I16" s="1433"/>
      <c r="J16" s="1433"/>
      <c r="K16" s="1433"/>
      <c r="L16" s="1433"/>
      <c r="M16" s="1433"/>
      <c r="N16" s="1433"/>
      <c r="O16" s="1433"/>
      <c r="P16" s="1433"/>
      <c r="Q16" s="1434"/>
    </row>
    <row r="17" spans="1:17" ht="12.75" customHeight="1" x14ac:dyDescent="0.2">
      <c r="A17" s="1432"/>
      <c r="B17" s="1433"/>
      <c r="C17" s="1433"/>
      <c r="D17" s="1433"/>
      <c r="E17" s="1433"/>
      <c r="F17" s="1433"/>
      <c r="G17" s="1433"/>
      <c r="H17" s="1433"/>
      <c r="I17" s="1433"/>
      <c r="J17" s="1433"/>
      <c r="K17" s="1433"/>
      <c r="L17" s="1433"/>
      <c r="M17" s="1433"/>
      <c r="N17" s="1433"/>
      <c r="O17" s="1433"/>
      <c r="P17" s="1433"/>
      <c r="Q17" s="1434"/>
    </row>
    <row r="18" spans="1:17" ht="12.75" customHeight="1" x14ac:dyDescent="0.2">
      <c r="A18" s="1435"/>
      <c r="B18" s="1436"/>
      <c r="C18" s="1436"/>
      <c r="D18" s="1436"/>
      <c r="E18" s="1436"/>
      <c r="F18" s="1436"/>
      <c r="G18" s="1436"/>
      <c r="H18" s="1436"/>
      <c r="I18" s="1436"/>
      <c r="J18" s="1436"/>
      <c r="K18" s="1436"/>
      <c r="L18" s="1436"/>
      <c r="M18" s="1436"/>
      <c r="N18" s="1436"/>
      <c r="O18" s="1436"/>
      <c r="P18" s="1436"/>
      <c r="Q18" s="1437"/>
    </row>
    <row r="21" spans="1:17" x14ac:dyDescent="0.2">
      <c r="A21" s="114"/>
      <c r="B21" s="114"/>
      <c r="C21" s="114"/>
      <c r="D21" s="114"/>
      <c r="L21" s="1274" t="s">
        <v>12</v>
      </c>
      <c r="M21" s="1274"/>
      <c r="N21" s="1274"/>
      <c r="O21" s="1274"/>
    </row>
    <row r="22" spans="1:17" x14ac:dyDescent="0.2">
      <c r="A22" s="114"/>
      <c r="B22" s="114"/>
      <c r="C22" s="114"/>
      <c r="D22" s="114"/>
      <c r="L22" s="1274" t="s">
        <v>13</v>
      </c>
      <c r="M22" s="1274"/>
      <c r="N22" s="1274"/>
      <c r="O22" s="1274"/>
    </row>
    <row r="23" spans="1:17" x14ac:dyDescent="0.2">
      <c r="A23" s="114"/>
      <c r="B23" s="114"/>
      <c r="C23" s="114"/>
      <c r="D23" s="114"/>
      <c r="L23" s="1274" t="s">
        <v>87</v>
      </c>
      <c r="M23" s="1274"/>
      <c r="N23" s="1274"/>
      <c r="O23" s="1274"/>
    </row>
    <row r="24" spans="1:17" x14ac:dyDescent="0.2">
      <c r="A24" s="114" t="s">
        <v>11</v>
      </c>
      <c r="C24" s="114"/>
      <c r="D24" s="114"/>
      <c r="L24" s="1302" t="s">
        <v>84</v>
      </c>
      <c r="M24" s="1302"/>
      <c r="N24" s="1302"/>
      <c r="O24" s="118"/>
    </row>
  </sheetData>
  <mergeCells count="22">
    <mergeCell ref="L24:N24"/>
    <mergeCell ref="G6:G7"/>
    <mergeCell ref="H6:I6"/>
    <mergeCell ref="J6:K6"/>
    <mergeCell ref="L6:M6"/>
    <mergeCell ref="L23:O23"/>
    <mergeCell ref="A9:Q18"/>
    <mergeCell ref="P6:Q6"/>
    <mergeCell ref="L21:O21"/>
    <mergeCell ref="L22:O22"/>
    <mergeCell ref="A2:O2"/>
    <mergeCell ref="B6:B7"/>
    <mergeCell ref="F6:F7"/>
    <mergeCell ref="D6:D7"/>
    <mergeCell ref="C6:C7"/>
    <mergeCell ref="N6:O6"/>
    <mergeCell ref="A4:Q4"/>
    <mergeCell ref="A3:O3"/>
    <mergeCell ref="A6:A7"/>
    <mergeCell ref="A5:C5"/>
    <mergeCell ref="E6:E7"/>
    <mergeCell ref="O5:Q5"/>
  </mergeCells>
  <printOptions horizontalCentered="1"/>
  <pageMargins left="0.70866141732283472" right="0.70866141732283472" top="0.23622047244094491" bottom="0" header="0.31496062992125984" footer="0.31496062992125984"/>
  <pageSetup paperSize="9" scale="78"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5" tint="0.39997558519241921"/>
    <pageSetUpPr fitToPage="1"/>
  </sheetPr>
  <dimension ref="A1:Q33"/>
  <sheetViews>
    <sheetView view="pageBreakPreview" topLeftCell="A9" zoomScale="89" zoomScaleSheetLayoutView="89" workbookViewId="0">
      <selection activeCell="Q28" sqref="Q28"/>
    </sheetView>
  </sheetViews>
  <sheetFormatPr defaultRowHeight="12.75" x14ac:dyDescent="0.2"/>
  <cols>
    <col min="1" max="1" width="2.42578125" style="114" customWidth="1"/>
    <col min="2" max="2" width="8.5703125" style="114" customWidth="1"/>
    <col min="3" max="3" width="24.5703125" style="114" customWidth="1"/>
    <col min="4" max="5" width="15.140625" style="114" customWidth="1"/>
    <col min="6" max="17" width="9.5703125" style="114" customWidth="1"/>
    <col min="18" max="16384" width="9.140625" style="114"/>
  </cols>
  <sheetData>
    <row r="1" spans="1:17" x14ac:dyDescent="0.2">
      <c r="A1" s="114" t="s">
        <v>10</v>
      </c>
      <c r="I1" s="1302"/>
      <c r="J1" s="1302"/>
      <c r="M1" s="181" t="s">
        <v>665</v>
      </c>
      <c r="N1" s="181"/>
      <c r="O1" s="181"/>
      <c r="P1" s="181"/>
    </row>
    <row r="2" spans="1:17" s="117" customFormat="1" ht="15.75" x14ac:dyDescent="0.25">
      <c r="A2" s="1208" t="s">
        <v>0</v>
      </c>
      <c r="B2" s="1208"/>
      <c r="C2" s="1208"/>
      <c r="D2" s="1208"/>
      <c r="E2" s="1208"/>
      <c r="F2" s="1208"/>
      <c r="G2" s="1208"/>
      <c r="H2" s="1208"/>
      <c r="I2" s="1208"/>
      <c r="J2" s="1208"/>
      <c r="K2" s="1208"/>
      <c r="L2" s="1208"/>
      <c r="M2" s="1208"/>
      <c r="N2" s="1208"/>
      <c r="O2" s="1208"/>
      <c r="P2" s="1208"/>
      <c r="Q2" s="1208"/>
    </row>
    <row r="3" spans="1:17" s="117" customFormat="1" ht="20.25" customHeight="1" x14ac:dyDescent="0.25">
      <c r="A3" s="1208" t="s">
        <v>788</v>
      </c>
      <c r="B3" s="1208"/>
      <c r="C3" s="1208"/>
      <c r="D3" s="1208"/>
      <c r="E3" s="1208"/>
      <c r="F3" s="1208"/>
      <c r="G3" s="1208"/>
      <c r="H3" s="1208"/>
      <c r="I3" s="1208"/>
      <c r="J3" s="1208"/>
      <c r="K3" s="1208"/>
      <c r="L3" s="1208"/>
      <c r="M3" s="1208"/>
      <c r="N3" s="1208"/>
      <c r="O3" s="1208"/>
      <c r="P3" s="1208"/>
      <c r="Q3" s="1208"/>
    </row>
    <row r="4" spans="1:17" s="117" customFormat="1" ht="18" x14ac:dyDescent="0.25">
      <c r="A4" s="1203" t="s">
        <v>811</v>
      </c>
      <c r="B4" s="1203"/>
      <c r="C4" s="1203"/>
      <c r="D4" s="1203"/>
      <c r="E4" s="1203"/>
      <c r="F4" s="1203"/>
      <c r="G4" s="1203"/>
      <c r="H4" s="1203"/>
      <c r="I4" s="1203"/>
      <c r="J4" s="1203"/>
      <c r="K4" s="1203"/>
      <c r="L4" s="1203"/>
      <c r="M4" s="1203"/>
      <c r="N4" s="1203"/>
      <c r="O4" s="1203"/>
      <c r="P4" s="1203"/>
      <c r="Q4" s="1203"/>
    </row>
    <row r="6" spans="1:17" x14ac:dyDescent="0.2">
      <c r="B6" s="1075" t="s">
        <v>456</v>
      </c>
      <c r="C6" s="1075"/>
      <c r="D6" s="1075"/>
      <c r="E6" s="119"/>
      <c r="F6" s="119"/>
      <c r="G6" s="119"/>
      <c r="H6" s="119"/>
      <c r="I6" s="119"/>
      <c r="J6" s="119"/>
      <c r="K6" s="119"/>
    </row>
    <row r="8" spans="1:17" s="120" customFormat="1" ht="15" customHeight="1" x14ac:dyDescent="0.25">
      <c r="A8" s="114"/>
      <c r="B8" s="114"/>
      <c r="C8" s="114"/>
      <c r="D8" s="114"/>
      <c r="E8" s="114"/>
      <c r="F8" s="114"/>
      <c r="G8" s="114"/>
      <c r="H8" s="114"/>
      <c r="I8" s="114"/>
      <c r="J8" s="114"/>
      <c r="K8" s="114"/>
      <c r="L8" s="1439" t="s">
        <v>812</v>
      </c>
      <c r="M8" s="1439"/>
      <c r="N8" s="1439"/>
      <c r="O8" s="1439"/>
      <c r="P8" s="1439"/>
      <c r="Q8" s="1439"/>
    </row>
    <row r="9" spans="1:17" s="120" customFormat="1" ht="20.25" customHeight="1" x14ac:dyDescent="0.2">
      <c r="A9" s="121"/>
      <c r="B9" s="1286" t="s">
        <v>2</v>
      </c>
      <c r="C9" s="1286" t="s">
        <v>3</v>
      </c>
      <c r="D9" s="1441" t="s">
        <v>297</v>
      </c>
      <c r="E9" s="1441" t="s">
        <v>470</v>
      </c>
      <c r="F9" s="1443" t="s">
        <v>298</v>
      </c>
      <c r="G9" s="1443"/>
      <c r="H9" s="1443"/>
      <c r="I9" s="1443"/>
      <c r="J9" s="1443"/>
      <c r="K9" s="1443"/>
      <c r="L9" s="1443"/>
      <c r="M9" s="1443"/>
      <c r="N9" s="1443"/>
      <c r="O9" s="1443"/>
      <c r="P9" s="1443"/>
      <c r="Q9" s="1443"/>
    </row>
    <row r="10" spans="1:17" s="120" customFormat="1" ht="54" customHeight="1" x14ac:dyDescent="0.25">
      <c r="A10" s="122"/>
      <c r="B10" s="1440"/>
      <c r="C10" s="1440"/>
      <c r="D10" s="1442"/>
      <c r="E10" s="1442"/>
      <c r="F10" s="270" t="s">
        <v>299</v>
      </c>
      <c r="G10" s="270" t="s">
        <v>300</v>
      </c>
      <c r="H10" s="270" t="s">
        <v>301</v>
      </c>
      <c r="I10" s="270" t="s">
        <v>302</v>
      </c>
      <c r="J10" s="270" t="s">
        <v>303</v>
      </c>
      <c r="K10" s="270" t="s">
        <v>304</v>
      </c>
      <c r="L10" s="270" t="s">
        <v>305</v>
      </c>
      <c r="M10" s="270" t="s">
        <v>306</v>
      </c>
      <c r="N10" s="270" t="s">
        <v>307</v>
      </c>
      <c r="O10" s="270" t="s">
        <v>769</v>
      </c>
      <c r="P10" s="270" t="s">
        <v>770</v>
      </c>
      <c r="Q10" s="270" t="s">
        <v>771</v>
      </c>
    </row>
    <row r="11" spans="1:17" s="120" customFormat="1" ht="12.75" customHeight="1" x14ac:dyDescent="0.2">
      <c r="B11" s="271">
        <v>1</v>
      </c>
      <c r="C11" s="271">
        <v>2</v>
      </c>
      <c r="D11" s="271">
        <v>3</v>
      </c>
      <c r="E11" s="271">
        <v>4</v>
      </c>
      <c r="F11" s="271">
        <v>5</v>
      </c>
      <c r="G11" s="271">
        <v>6</v>
      </c>
      <c r="H11" s="271">
        <v>7</v>
      </c>
      <c r="I11" s="271">
        <v>8</v>
      </c>
      <c r="J11" s="271">
        <v>9</v>
      </c>
      <c r="K11" s="271">
        <v>10</v>
      </c>
      <c r="L11" s="271">
        <v>11</v>
      </c>
      <c r="M11" s="271">
        <v>12</v>
      </c>
      <c r="N11" s="271">
        <v>13</v>
      </c>
      <c r="O11" s="271">
        <v>14</v>
      </c>
      <c r="P11" s="271">
        <v>15</v>
      </c>
      <c r="Q11" s="271">
        <v>16</v>
      </c>
    </row>
    <row r="12" spans="1:17" ht="20.100000000000001" customHeight="1" x14ac:dyDescent="0.2">
      <c r="B12" s="188">
        <v>1</v>
      </c>
      <c r="C12" s="219" t="s">
        <v>386</v>
      </c>
      <c r="D12" s="259">
        <v>1797</v>
      </c>
      <c r="E12" s="259">
        <v>1797</v>
      </c>
      <c r="F12" s="259">
        <v>1797</v>
      </c>
      <c r="G12" s="259">
        <v>1797</v>
      </c>
      <c r="H12" s="259">
        <v>1797</v>
      </c>
      <c r="I12" s="259">
        <v>1797</v>
      </c>
      <c r="J12" s="259">
        <v>1797</v>
      </c>
      <c r="K12" s="259">
        <v>1797</v>
      </c>
      <c r="L12" s="259">
        <v>1797</v>
      </c>
      <c r="M12" s="259">
        <v>1797</v>
      </c>
      <c r="N12" s="259">
        <v>1797</v>
      </c>
      <c r="O12" s="259">
        <v>1797</v>
      </c>
      <c r="P12" s="259">
        <v>1797</v>
      </c>
      <c r="Q12" s="259">
        <v>1797</v>
      </c>
    </row>
    <row r="13" spans="1:17" ht="20.100000000000001" customHeight="1" x14ac:dyDescent="0.2">
      <c r="A13" s="123"/>
      <c r="B13" s="188">
        <v>2</v>
      </c>
      <c r="C13" s="219" t="s">
        <v>387</v>
      </c>
      <c r="D13" s="259">
        <v>796</v>
      </c>
      <c r="E13" s="259">
        <v>796</v>
      </c>
      <c r="F13" s="259">
        <v>796</v>
      </c>
      <c r="G13" s="259">
        <v>796</v>
      </c>
      <c r="H13" s="259">
        <v>796</v>
      </c>
      <c r="I13" s="259">
        <v>796</v>
      </c>
      <c r="J13" s="259">
        <v>796</v>
      </c>
      <c r="K13" s="259">
        <v>796</v>
      </c>
      <c r="L13" s="259">
        <v>796</v>
      </c>
      <c r="M13" s="259">
        <v>796</v>
      </c>
      <c r="N13" s="259">
        <v>796</v>
      </c>
      <c r="O13" s="259">
        <v>796</v>
      </c>
      <c r="P13" s="259">
        <v>796</v>
      </c>
      <c r="Q13" s="259">
        <v>796</v>
      </c>
    </row>
    <row r="14" spans="1:17" ht="20.100000000000001" customHeight="1" x14ac:dyDescent="0.2">
      <c r="B14" s="188">
        <v>3</v>
      </c>
      <c r="C14" s="219" t="s">
        <v>388</v>
      </c>
      <c r="D14" s="259">
        <v>1406</v>
      </c>
      <c r="E14" s="259">
        <v>1406</v>
      </c>
      <c r="F14" s="259">
        <v>1406</v>
      </c>
      <c r="G14" s="259">
        <v>1406</v>
      </c>
      <c r="H14" s="259">
        <v>1406</v>
      </c>
      <c r="I14" s="259">
        <v>1406</v>
      </c>
      <c r="J14" s="259">
        <v>1406</v>
      </c>
      <c r="K14" s="259">
        <v>1406</v>
      </c>
      <c r="L14" s="259">
        <v>1406</v>
      </c>
      <c r="M14" s="259">
        <v>1406</v>
      </c>
      <c r="N14" s="259">
        <v>1406</v>
      </c>
      <c r="O14" s="259">
        <v>1406</v>
      </c>
      <c r="P14" s="259">
        <v>1406</v>
      </c>
      <c r="Q14" s="259">
        <v>1406</v>
      </c>
    </row>
    <row r="15" spans="1:17" s="86" customFormat="1" ht="20.100000000000001" customHeight="1" x14ac:dyDescent="0.2">
      <c r="B15" s="188">
        <v>4</v>
      </c>
      <c r="C15" s="219" t="s">
        <v>389</v>
      </c>
      <c r="D15" s="259">
        <v>688</v>
      </c>
      <c r="E15" s="259">
        <v>688</v>
      </c>
      <c r="F15" s="259">
        <v>688</v>
      </c>
      <c r="G15" s="259">
        <v>688</v>
      </c>
      <c r="H15" s="259">
        <v>688</v>
      </c>
      <c r="I15" s="259">
        <v>688</v>
      </c>
      <c r="J15" s="259">
        <v>688</v>
      </c>
      <c r="K15" s="259">
        <v>688</v>
      </c>
      <c r="L15" s="259">
        <v>688</v>
      </c>
      <c r="M15" s="259">
        <v>688</v>
      </c>
      <c r="N15" s="259">
        <v>688</v>
      </c>
      <c r="O15" s="259">
        <v>688</v>
      </c>
      <c r="P15" s="259">
        <v>688</v>
      </c>
      <c r="Q15" s="259">
        <v>688</v>
      </c>
    </row>
    <row r="16" spans="1:17" s="86" customFormat="1" ht="20.100000000000001" customHeight="1" x14ac:dyDescent="0.2">
      <c r="B16" s="188">
        <v>5</v>
      </c>
      <c r="C16" s="221" t="s">
        <v>390</v>
      </c>
      <c r="D16" s="236">
        <v>1443</v>
      </c>
      <c r="E16" s="236">
        <v>1443</v>
      </c>
      <c r="F16" s="236">
        <v>1443</v>
      </c>
      <c r="G16" s="236">
        <v>1443</v>
      </c>
      <c r="H16" s="236">
        <v>1443</v>
      </c>
      <c r="I16" s="236">
        <v>1443</v>
      </c>
      <c r="J16" s="236">
        <v>1443</v>
      </c>
      <c r="K16" s="236">
        <v>1443</v>
      </c>
      <c r="L16" s="236">
        <v>1443</v>
      </c>
      <c r="M16" s="236">
        <v>1443</v>
      </c>
      <c r="N16" s="236">
        <v>1443</v>
      </c>
      <c r="O16" s="236">
        <v>1443</v>
      </c>
      <c r="P16" s="236">
        <v>1443</v>
      </c>
      <c r="Q16" s="236">
        <v>1443</v>
      </c>
    </row>
    <row r="17" spans="1:17" s="86" customFormat="1" ht="20.100000000000001" customHeight="1" x14ac:dyDescent="0.2">
      <c r="A17" s="124" t="s">
        <v>308</v>
      </c>
      <c r="B17" s="188">
        <v>6</v>
      </c>
      <c r="C17" s="219" t="s">
        <v>391</v>
      </c>
      <c r="D17" s="236">
        <v>1082</v>
      </c>
      <c r="E17" s="236">
        <v>1082</v>
      </c>
      <c r="F17" s="236">
        <v>1082</v>
      </c>
      <c r="G17" s="236">
        <v>1082</v>
      </c>
      <c r="H17" s="236">
        <v>1082</v>
      </c>
      <c r="I17" s="236">
        <v>1082</v>
      </c>
      <c r="J17" s="236">
        <v>1082</v>
      </c>
      <c r="K17" s="236">
        <v>1082</v>
      </c>
      <c r="L17" s="236">
        <v>1082</v>
      </c>
      <c r="M17" s="236">
        <v>1082</v>
      </c>
      <c r="N17" s="236">
        <v>1082</v>
      </c>
      <c r="O17" s="236">
        <v>1082</v>
      </c>
      <c r="P17" s="236">
        <v>1082</v>
      </c>
      <c r="Q17" s="236">
        <v>1082</v>
      </c>
    </row>
    <row r="18" spans="1:17" ht="20.100000000000001" customHeight="1" x14ac:dyDescent="0.2">
      <c r="B18" s="188">
        <v>7</v>
      </c>
      <c r="C18" s="221" t="s">
        <v>392</v>
      </c>
      <c r="D18" s="259">
        <v>1406</v>
      </c>
      <c r="E18" s="259">
        <v>1406</v>
      </c>
      <c r="F18" s="259">
        <v>1406</v>
      </c>
      <c r="G18" s="259">
        <v>1406</v>
      </c>
      <c r="H18" s="259">
        <v>1406</v>
      </c>
      <c r="I18" s="259">
        <v>1406</v>
      </c>
      <c r="J18" s="259">
        <v>1406</v>
      </c>
      <c r="K18" s="259">
        <v>1406</v>
      </c>
      <c r="L18" s="259">
        <v>1406</v>
      </c>
      <c r="M18" s="259">
        <v>1406</v>
      </c>
      <c r="N18" s="259">
        <v>1406</v>
      </c>
      <c r="O18" s="259">
        <v>1406</v>
      </c>
      <c r="P18" s="259">
        <v>1406</v>
      </c>
      <c r="Q18" s="259">
        <v>1406</v>
      </c>
    </row>
    <row r="19" spans="1:17" ht="20.100000000000001" customHeight="1" x14ac:dyDescent="0.2">
      <c r="B19" s="188">
        <v>8</v>
      </c>
      <c r="C19" s="219" t="s">
        <v>393</v>
      </c>
      <c r="D19" s="259">
        <v>2146</v>
      </c>
      <c r="E19" s="259">
        <v>2146</v>
      </c>
      <c r="F19" s="259">
        <v>2146</v>
      </c>
      <c r="G19" s="259">
        <v>2146</v>
      </c>
      <c r="H19" s="259">
        <v>2146</v>
      </c>
      <c r="I19" s="259">
        <v>2146</v>
      </c>
      <c r="J19" s="259">
        <v>2146</v>
      </c>
      <c r="K19" s="259">
        <v>2146</v>
      </c>
      <c r="L19" s="259">
        <v>2146</v>
      </c>
      <c r="M19" s="259">
        <v>2146</v>
      </c>
      <c r="N19" s="259">
        <v>2146</v>
      </c>
      <c r="O19" s="259">
        <v>2146</v>
      </c>
      <c r="P19" s="259">
        <v>2146</v>
      </c>
      <c r="Q19" s="259">
        <v>2146</v>
      </c>
    </row>
    <row r="20" spans="1:17" ht="20.100000000000001" customHeight="1" x14ac:dyDescent="0.2">
      <c r="B20" s="188">
        <v>9</v>
      </c>
      <c r="C20" s="219" t="s">
        <v>394</v>
      </c>
      <c r="D20" s="259">
        <v>1532</v>
      </c>
      <c r="E20" s="259">
        <v>1532</v>
      </c>
      <c r="F20" s="259">
        <v>1532</v>
      </c>
      <c r="G20" s="259">
        <v>1532</v>
      </c>
      <c r="H20" s="259">
        <v>1532</v>
      </c>
      <c r="I20" s="259">
        <v>1532</v>
      </c>
      <c r="J20" s="259">
        <v>1532</v>
      </c>
      <c r="K20" s="259">
        <v>1532</v>
      </c>
      <c r="L20" s="259">
        <v>1532</v>
      </c>
      <c r="M20" s="259">
        <v>1532</v>
      </c>
      <c r="N20" s="259">
        <v>1532</v>
      </c>
      <c r="O20" s="259">
        <v>1532</v>
      </c>
      <c r="P20" s="259">
        <v>1532</v>
      </c>
      <c r="Q20" s="259">
        <v>1532</v>
      </c>
    </row>
    <row r="21" spans="1:17" ht="20.100000000000001" customHeight="1" x14ac:dyDescent="0.2">
      <c r="B21" s="188">
        <v>10</v>
      </c>
      <c r="C21" s="219" t="s">
        <v>395</v>
      </c>
      <c r="D21" s="259">
        <v>797</v>
      </c>
      <c r="E21" s="259">
        <v>797</v>
      </c>
      <c r="F21" s="259">
        <v>797</v>
      </c>
      <c r="G21" s="259">
        <v>797</v>
      </c>
      <c r="H21" s="259">
        <v>797</v>
      </c>
      <c r="I21" s="259">
        <v>797</v>
      </c>
      <c r="J21" s="259">
        <v>797</v>
      </c>
      <c r="K21" s="259">
        <v>797</v>
      </c>
      <c r="L21" s="259">
        <v>797</v>
      </c>
      <c r="M21" s="259">
        <v>797</v>
      </c>
      <c r="N21" s="259">
        <v>797</v>
      </c>
      <c r="O21" s="259">
        <v>797</v>
      </c>
      <c r="P21" s="259">
        <v>797</v>
      </c>
      <c r="Q21" s="259">
        <v>797</v>
      </c>
    </row>
    <row r="22" spans="1:17" ht="20.100000000000001" customHeight="1" x14ac:dyDescent="0.2">
      <c r="B22" s="188">
        <v>11</v>
      </c>
      <c r="C22" s="219" t="s">
        <v>396</v>
      </c>
      <c r="D22" s="259">
        <v>1921</v>
      </c>
      <c r="E22" s="259">
        <v>1921</v>
      </c>
      <c r="F22" s="259">
        <v>1921</v>
      </c>
      <c r="G22" s="259">
        <v>1921</v>
      </c>
      <c r="H22" s="259">
        <v>1921</v>
      </c>
      <c r="I22" s="259">
        <v>1921</v>
      </c>
      <c r="J22" s="259">
        <v>1921</v>
      </c>
      <c r="K22" s="259">
        <v>1921</v>
      </c>
      <c r="L22" s="259">
        <v>1921</v>
      </c>
      <c r="M22" s="259">
        <v>1921</v>
      </c>
      <c r="N22" s="259">
        <v>1921</v>
      </c>
      <c r="O22" s="259">
        <v>1921</v>
      </c>
      <c r="P22" s="259">
        <v>1921</v>
      </c>
      <c r="Q22" s="259">
        <v>1921</v>
      </c>
    </row>
    <row r="23" spans="1:17" ht="20.100000000000001" customHeight="1" x14ac:dyDescent="0.2">
      <c r="B23" s="188">
        <v>12</v>
      </c>
      <c r="C23" s="219" t="s">
        <v>397</v>
      </c>
      <c r="D23" s="259">
        <v>1276</v>
      </c>
      <c r="E23" s="259">
        <v>1276</v>
      </c>
      <c r="F23" s="259">
        <v>1276</v>
      </c>
      <c r="G23" s="259">
        <v>1276</v>
      </c>
      <c r="H23" s="259">
        <v>1276</v>
      </c>
      <c r="I23" s="259">
        <v>1276</v>
      </c>
      <c r="J23" s="259">
        <v>1276</v>
      </c>
      <c r="K23" s="259">
        <v>1276</v>
      </c>
      <c r="L23" s="259">
        <v>1276</v>
      </c>
      <c r="M23" s="259">
        <v>1276</v>
      </c>
      <c r="N23" s="259">
        <v>1276</v>
      </c>
      <c r="O23" s="259">
        <v>1276</v>
      </c>
      <c r="P23" s="259">
        <v>1276</v>
      </c>
      <c r="Q23" s="259">
        <v>1276</v>
      </c>
    </row>
    <row r="24" spans="1:17" ht="20.100000000000001" customHeight="1" x14ac:dyDescent="0.2">
      <c r="B24" s="188">
        <v>13</v>
      </c>
      <c r="C24" s="219" t="s">
        <v>398</v>
      </c>
      <c r="D24" s="259">
        <v>1054</v>
      </c>
      <c r="E24" s="259">
        <v>1054</v>
      </c>
      <c r="F24" s="259">
        <v>1054</v>
      </c>
      <c r="G24" s="259">
        <v>1054</v>
      </c>
      <c r="H24" s="259">
        <v>1054</v>
      </c>
      <c r="I24" s="259">
        <v>1054</v>
      </c>
      <c r="J24" s="259">
        <v>1054</v>
      </c>
      <c r="K24" s="259">
        <v>1054</v>
      </c>
      <c r="L24" s="259">
        <v>1054</v>
      </c>
      <c r="M24" s="259">
        <v>1054</v>
      </c>
      <c r="N24" s="259">
        <v>1054</v>
      </c>
      <c r="O24" s="259">
        <v>1054</v>
      </c>
      <c r="P24" s="259">
        <v>1054</v>
      </c>
      <c r="Q24" s="259">
        <v>1054</v>
      </c>
    </row>
    <row r="25" spans="1:17" ht="20.100000000000001" customHeight="1" x14ac:dyDescent="0.2">
      <c r="B25" s="227" t="s">
        <v>18</v>
      </c>
      <c r="C25" s="227"/>
      <c r="D25" s="228">
        <f>SUM(D12:D24)</f>
        <v>17344</v>
      </c>
      <c r="E25" s="228">
        <f t="shared" ref="E25:Q25" si="0">SUM(E12:E24)</f>
        <v>17344</v>
      </c>
      <c r="F25" s="228">
        <f t="shared" si="0"/>
        <v>17344</v>
      </c>
      <c r="G25" s="228">
        <f t="shared" si="0"/>
        <v>17344</v>
      </c>
      <c r="H25" s="228">
        <f t="shared" si="0"/>
        <v>17344</v>
      </c>
      <c r="I25" s="228">
        <f t="shared" si="0"/>
        <v>17344</v>
      </c>
      <c r="J25" s="228">
        <f t="shared" si="0"/>
        <v>17344</v>
      </c>
      <c r="K25" s="228">
        <f t="shared" si="0"/>
        <v>17344</v>
      </c>
      <c r="L25" s="228">
        <f t="shared" si="0"/>
        <v>17344</v>
      </c>
      <c r="M25" s="228">
        <f t="shared" si="0"/>
        <v>17344</v>
      </c>
      <c r="N25" s="228">
        <f t="shared" ref="N25:P25" si="1">SUM(N12:N24)</f>
        <v>17344</v>
      </c>
      <c r="O25" s="228">
        <f t="shared" si="1"/>
        <v>17344</v>
      </c>
      <c r="P25" s="228">
        <f t="shared" si="1"/>
        <v>17344</v>
      </c>
      <c r="Q25" s="228">
        <f t="shared" si="0"/>
        <v>17344</v>
      </c>
    </row>
    <row r="26" spans="1:17" ht="20.100000000000001" customHeight="1" x14ac:dyDescent="0.2">
      <c r="B26" s="356"/>
      <c r="C26" s="356"/>
      <c r="D26" s="511"/>
      <c r="E26" s="511"/>
      <c r="F26" s="511"/>
      <c r="G26" s="511"/>
      <c r="H26" s="511"/>
      <c r="I26" s="511"/>
      <c r="J26" s="511"/>
      <c r="K26" s="511"/>
      <c r="L26" s="511"/>
      <c r="M26" s="511"/>
      <c r="N26" s="511"/>
      <c r="O26" s="511"/>
      <c r="P26" s="511"/>
      <c r="Q26" s="511"/>
    </row>
    <row r="27" spans="1:17" ht="20.100000000000001" customHeight="1" x14ac:dyDescent="0.2">
      <c r="B27" s="356"/>
      <c r="C27" s="356"/>
      <c r="D27" s="511"/>
      <c r="E27" s="511"/>
      <c r="F27" s="511"/>
      <c r="G27" s="511"/>
      <c r="H27" s="511"/>
      <c r="I27" s="511"/>
      <c r="J27" s="511"/>
      <c r="K27" s="511"/>
      <c r="L27" s="511"/>
      <c r="M27" s="511"/>
      <c r="N27" s="511"/>
      <c r="O27" s="511"/>
      <c r="P27" s="511"/>
      <c r="Q27" s="511">
        <f>AVERAGE(F25:Q25)</f>
        <v>17344</v>
      </c>
    </row>
    <row r="28" spans="1:17" x14ac:dyDescent="0.2">
      <c r="Q28" s="974">
        <f>Q27/D25</f>
        <v>1</v>
      </c>
    </row>
    <row r="30" spans="1:17" x14ac:dyDescent="0.2">
      <c r="I30" s="1274" t="s">
        <v>626</v>
      </c>
      <c r="J30" s="1274"/>
      <c r="K30" s="1274"/>
      <c r="L30" s="1274"/>
      <c r="M30" s="1274"/>
      <c r="N30" s="1274"/>
      <c r="O30" s="1274"/>
      <c r="P30" s="1274"/>
      <c r="Q30" s="1274"/>
    </row>
    <row r="31" spans="1:17" x14ac:dyDescent="0.2">
      <c r="I31" s="1362" t="s">
        <v>13</v>
      </c>
      <c r="J31" s="1362"/>
      <c r="K31" s="1362"/>
      <c r="L31" s="1362"/>
      <c r="M31" s="1362"/>
      <c r="N31" s="1362"/>
      <c r="O31" s="1362"/>
      <c r="P31" s="1362"/>
      <c r="Q31" s="1362"/>
    </row>
    <row r="32" spans="1:17" x14ac:dyDescent="0.2">
      <c r="I32" s="1362" t="s">
        <v>87</v>
      </c>
      <c r="J32" s="1362"/>
      <c r="K32" s="1362"/>
      <c r="L32" s="1362"/>
      <c r="M32" s="1362"/>
      <c r="N32" s="1362"/>
      <c r="O32" s="1362"/>
      <c r="P32" s="1362"/>
      <c r="Q32" s="1362"/>
    </row>
    <row r="33" spans="2:17" x14ac:dyDescent="0.2">
      <c r="B33" s="114" t="s">
        <v>11</v>
      </c>
      <c r="I33" s="1438" t="s">
        <v>84</v>
      </c>
      <c r="J33" s="1438"/>
      <c r="K33" s="1438"/>
      <c r="L33" s="1438"/>
      <c r="M33" s="321"/>
      <c r="N33" s="706"/>
      <c r="O33" s="706"/>
      <c r="P33" s="706"/>
      <c r="Q33" s="321"/>
    </row>
  </sheetData>
  <mergeCells count="15">
    <mergeCell ref="I31:Q31"/>
    <mergeCell ref="I32:Q32"/>
    <mergeCell ref="B6:D6"/>
    <mergeCell ref="I33:L33"/>
    <mergeCell ref="I1:J1"/>
    <mergeCell ref="A2:Q2"/>
    <mergeCell ref="A3:Q3"/>
    <mergeCell ref="A4:Q4"/>
    <mergeCell ref="L8:Q8"/>
    <mergeCell ref="B9:B10"/>
    <mergeCell ref="C9:C10"/>
    <mergeCell ref="D9:D10"/>
    <mergeCell ref="E9:E10"/>
    <mergeCell ref="F9:Q9"/>
    <mergeCell ref="I30:Q30"/>
  </mergeCells>
  <printOptions horizontalCentered="1"/>
  <pageMargins left="0.43" right="0.33" top="0.23622047244094491" bottom="0" header="0.31496062992125984" footer="0.31496062992125984"/>
  <pageSetup paperSize="9" scale="78"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5" tint="0.39997558519241921"/>
    <pageSetUpPr fitToPage="1"/>
  </sheetPr>
  <dimension ref="A1:R35"/>
  <sheetViews>
    <sheetView view="pageBreakPreview" topLeftCell="B12" zoomScale="89" zoomScaleSheetLayoutView="89" workbookViewId="0">
      <selection activeCell="Q30" sqref="Q30"/>
    </sheetView>
  </sheetViews>
  <sheetFormatPr defaultRowHeight="12.75" x14ac:dyDescent="0.2"/>
  <cols>
    <col min="1" max="1" width="2.42578125" style="114" customWidth="1"/>
    <col min="2" max="2" width="8.5703125" style="114" customWidth="1"/>
    <col min="3" max="3" width="26" style="114" customWidth="1"/>
    <col min="4" max="4" width="15.140625" style="114" customWidth="1"/>
    <col min="5" max="5" width="18.5703125" style="114" customWidth="1"/>
    <col min="6" max="17" width="10" style="114" customWidth="1"/>
    <col min="18" max="16384" width="9.140625" style="114"/>
  </cols>
  <sheetData>
    <row r="1" spans="1:17" x14ac:dyDescent="0.2">
      <c r="A1" s="114" t="s">
        <v>10</v>
      </c>
      <c r="I1" s="1302"/>
      <c r="J1" s="1302"/>
      <c r="M1" s="181" t="s">
        <v>686</v>
      </c>
      <c r="N1" s="181"/>
      <c r="O1" s="181"/>
      <c r="P1" s="181"/>
    </row>
    <row r="2" spans="1:17" s="117" customFormat="1" ht="15.75" x14ac:dyDescent="0.25">
      <c r="A2" s="1208" t="s">
        <v>0</v>
      </c>
      <c r="B2" s="1208"/>
      <c r="C2" s="1208"/>
      <c r="D2" s="1208"/>
      <c r="E2" s="1208"/>
      <c r="F2" s="1208"/>
      <c r="G2" s="1208"/>
      <c r="H2" s="1208"/>
      <c r="I2" s="1208"/>
      <c r="J2" s="1208"/>
      <c r="K2" s="1208"/>
      <c r="L2" s="1208"/>
      <c r="M2" s="1208"/>
      <c r="N2" s="1208"/>
      <c r="O2" s="1208"/>
      <c r="P2" s="1208"/>
      <c r="Q2" s="1208"/>
    </row>
    <row r="3" spans="1:17" s="117" customFormat="1" ht="20.25" customHeight="1" x14ac:dyDescent="0.25">
      <c r="A3" s="1208" t="s">
        <v>788</v>
      </c>
      <c r="B3" s="1208"/>
      <c r="C3" s="1208"/>
      <c r="D3" s="1208"/>
      <c r="E3" s="1208"/>
      <c r="F3" s="1208"/>
      <c r="G3" s="1208"/>
      <c r="H3" s="1208"/>
      <c r="I3" s="1208"/>
      <c r="J3" s="1208"/>
      <c r="K3" s="1208"/>
      <c r="L3" s="1208"/>
      <c r="M3" s="1208"/>
      <c r="N3" s="1208"/>
      <c r="O3" s="1208"/>
      <c r="P3" s="1208"/>
      <c r="Q3" s="1208"/>
    </row>
    <row r="4" spans="1:17" s="117" customFormat="1" ht="18" x14ac:dyDescent="0.25">
      <c r="A4" s="1203" t="s">
        <v>819</v>
      </c>
      <c r="B4" s="1203"/>
      <c r="C4" s="1203"/>
      <c r="D4" s="1203"/>
      <c r="E4" s="1203"/>
      <c r="F4" s="1203"/>
      <c r="G4" s="1203"/>
      <c r="H4" s="1203"/>
      <c r="I4" s="1203"/>
      <c r="J4" s="1203"/>
      <c r="K4" s="1203"/>
      <c r="L4" s="1203"/>
      <c r="M4" s="1203"/>
      <c r="N4" s="1203"/>
      <c r="O4" s="1203"/>
      <c r="P4" s="1203"/>
      <c r="Q4" s="1203"/>
    </row>
    <row r="5" spans="1:17" s="117" customFormat="1" ht="18" x14ac:dyDescent="0.25">
      <c r="A5" s="797"/>
      <c r="B5" s="797"/>
      <c r="C5" s="797"/>
      <c r="D5" s="797"/>
      <c r="E5" s="797"/>
      <c r="F5" s="797"/>
      <c r="G5" s="797"/>
      <c r="H5" s="797"/>
      <c r="I5" s="797"/>
      <c r="J5" s="797"/>
      <c r="K5" s="797"/>
      <c r="L5" s="797"/>
      <c r="M5" s="797"/>
      <c r="N5" s="797"/>
      <c r="O5" s="797"/>
      <c r="P5" s="797"/>
      <c r="Q5" s="797"/>
    </row>
    <row r="6" spans="1:17" x14ac:dyDescent="0.2">
      <c r="B6" s="1075" t="s">
        <v>456</v>
      </c>
      <c r="C6" s="1075"/>
      <c r="D6" s="1075"/>
    </row>
    <row r="7" spans="1:17" x14ac:dyDescent="0.2">
      <c r="E7" s="119"/>
      <c r="F7" s="119"/>
      <c r="G7" s="119"/>
      <c r="H7" s="119"/>
      <c r="I7" s="119"/>
      <c r="J7" s="119"/>
      <c r="K7" s="119"/>
    </row>
    <row r="8" spans="1:17" ht="30" customHeight="1" x14ac:dyDescent="0.2">
      <c r="B8" s="1444" t="s">
        <v>886</v>
      </c>
      <c r="C8" s="1444"/>
      <c r="D8" s="1444"/>
      <c r="E8" s="1444"/>
      <c r="F8" s="1448" t="s">
        <v>888</v>
      </c>
      <c r="G8" s="1449"/>
      <c r="H8" s="1450"/>
    </row>
    <row r="9" spans="1:17" ht="24" customHeight="1" x14ac:dyDescent="0.2">
      <c r="B9" s="1445" t="s">
        <v>887</v>
      </c>
      <c r="C9" s="1446"/>
      <c r="D9" s="1446"/>
      <c r="E9" s="1447"/>
      <c r="F9" s="1448" t="s">
        <v>889</v>
      </c>
      <c r="G9" s="1449"/>
      <c r="H9" s="1450"/>
    </row>
    <row r="10" spans="1:17" s="120" customFormat="1" ht="15" customHeight="1" x14ac:dyDescent="0.2">
      <c r="A10" s="114"/>
      <c r="I10" s="114"/>
      <c r="J10" s="114"/>
      <c r="K10" s="114"/>
      <c r="L10" s="1174" t="s">
        <v>812</v>
      </c>
      <c r="M10" s="1174"/>
      <c r="N10" s="1174"/>
      <c r="O10" s="1174"/>
      <c r="P10" s="1174"/>
      <c r="Q10" s="1174"/>
    </row>
    <row r="11" spans="1:17" s="120" customFormat="1" ht="20.25" customHeight="1" x14ac:dyDescent="0.2">
      <c r="A11" s="121"/>
      <c r="B11" s="1286" t="s">
        <v>2</v>
      </c>
      <c r="C11" s="1286" t="s">
        <v>3</v>
      </c>
      <c r="D11" s="1441" t="s">
        <v>297</v>
      </c>
      <c r="E11" s="1441" t="s">
        <v>687</v>
      </c>
      <c r="F11" s="1451" t="s">
        <v>757</v>
      </c>
      <c r="G11" s="1452"/>
      <c r="H11" s="1452"/>
      <c r="I11" s="1452"/>
      <c r="J11" s="1452"/>
      <c r="K11" s="1452"/>
      <c r="L11" s="1452"/>
      <c r="M11" s="1452"/>
      <c r="N11" s="1452"/>
      <c r="O11" s="1452"/>
      <c r="P11" s="1452"/>
      <c r="Q11" s="1453"/>
    </row>
    <row r="12" spans="1:17" s="120" customFormat="1" ht="54" customHeight="1" x14ac:dyDescent="0.25">
      <c r="A12" s="122"/>
      <c r="B12" s="1440"/>
      <c r="C12" s="1440"/>
      <c r="D12" s="1442"/>
      <c r="E12" s="1442"/>
      <c r="F12" s="270" t="s">
        <v>299</v>
      </c>
      <c r="G12" s="270" t="s">
        <v>300</v>
      </c>
      <c r="H12" s="270" t="s">
        <v>301</v>
      </c>
      <c r="I12" s="270" t="s">
        <v>302</v>
      </c>
      <c r="J12" s="270" t="s">
        <v>303</v>
      </c>
      <c r="K12" s="270" t="s">
        <v>304</v>
      </c>
      <c r="L12" s="270" t="s">
        <v>305</v>
      </c>
      <c r="M12" s="270" t="s">
        <v>306</v>
      </c>
      <c r="N12" s="270" t="s">
        <v>307</v>
      </c>
      <c r="O12" s="270" t="s">
        <v>769</v>
      </c>
      <c r="P12" s="270" t="s">
        <v>770</v>
      </c>
      <c r="Q12" s="270" t="s">
        <v>771</v>
      </c>
    </row>
    <row r="13" spans="1:17" s="120" customFormat="1" ht="12.75" customHeight="1" x14ac:dyDescent="0.2">
      <c r="B13" s="271">
        <v>1</v>
      </c>
      <c r="C13" s="271">
        <v>2</v>
      </c>
      <c r="D13" s="271">
        <v>3</v>
      </c>
      <c r="E13" s="271">
        <v>4</v>
      </c>
      <c r="F13" s="271">
        <v>5</v>
      </c>
      <c r="G13" s="271">
        <v>6</v>
      </c>
      <c r="H13" s="271">
        <v>7</v>
      </c>
      <c r="I13" s="271">
        <v>8</v>
      </c>
      <c r="J13" s="271">
        <v>9</v>
      </c>
      <c r="K13" s="271">
        <v>10</v>
      </c>
      <c r="L13" s="271">
        <v>11</v>
      </c>
      <c r="M13" s="271">
        <v>12</v>
      </c>
      <c r="N13" s="271">
        <v>13</v>
      </c>
      <c r="O13" s="271">
        <v>14</v>
      </c>
      <c r="P13" s="271">
        <v>15</v>
      </c>
      <c r="Q13" s="271">
        <v>16</v>
      </c>
    </row>
    <row r="14" spans="1:17" ht="20.100000000000001" customHeight="1" x14ac:dyDescent="0.2">
      <c r="B14" s="188">
        <v>1</v>
      </c>
      <c r="C14" s="219" t="s">
        <v>386</v>
      </c>
      <c r="D14" s="259">
        <v>1797</v>
      </c>
      <c r="E14" s="259">
        <v>1797</v>
      </c>
      <c r="F14" s="259">
        <v>1531</v>
      </c>
      <c r="G14" s="259">
        <v>1547</v>
      </c>
      <c r="H14" s="259">
        <v>163</v>
      </c>
      <c r="I14" s="259">
        <v>1327</v>
      </c>
      <c r="J14" s="259">
        <v>1076</v>
      </c>
      <c r="K14" s="259">
        <v>1009</v>
      </c>
      <c r="L14" s="259">
        <v>939</v>
      </c>
      <c r="M14" s="259">
        <v>896</v>
      </c>
      <c r="N14" s="259">
        <v>1282</v>
      </c>
      <c r="O14" s="259">
        <v>1024</v>
      </c>
      <c r="P14" s="259">
        <v>1239</v>
      </c>
      <c r="Q14" s="259">
        <v>1175</v>
      </c>
    </row>
    <row r="15" spans="1:17" ht="20.100000000000001" customHeight="1" x14ac:dyDescent="0.2">
      <c r="A15" s="123"/>
      <c r="B15" s="188">
        <v>2</v>
      </c>
      <c r="C15" s="219" t="s">
        <v>387</v>
      </c>
      <c r="D15" s="259">
        <v>796</v>
      </c>
      <c r="E15" s="259">
        <v>796</v>
      </c>
      <c r="F15" s="259">
        <v>618</v>
      </c>
      <c r="G15" s="259">
        <v>687</v>
      </c>
      <c r="H15" s="259">
        <v>31</v>
      </c>
      <c r="I15" s="259">
        <v>417</v>
      </c>
      <c r="J15" s="259">
        <v>258</v>
      </c>
      <c r="K15" s="259">
        <v>244</v>
      </c>
      <c r="L15" s="259">
        <v>317</v>
      </c>
      <c r="M15" s="259">
        <v>298</v>
      </c>
      <c r="N15" s="259">
        <v>496</v>
      </c>
      <c r="O15" s="259">
        <v>350</v>
      </c>
      <c r="P15" s="259">
        <v>435</v>
      </c>
      <c r="Q15" s="259">
        <v>383</v>
      </c>
    </row>
    <row r="16" spans="1:17" ht="20.100000000000001" customHeight="1" x14ac:dyDescent="0.2">
      <c r="B16" s="188">
        <v>3</v>
      </c>
      <c r="C16" s="219" t="s">
        <v>388</v>
      </c>
      <c r="D16" s="259">
        <v>1406</v>
      </c>
      <c r="E16" s="259">
        <v>1406</v>
      </c>
      <c r="F16" s="259">
        <v>1160</v>
      </c>
      <c r="G16" s="259">
        <v>1145</v>
      </c>
      <c r="H16" s="259">
        <v>94</v>
      </c>
      <c r="I16" s="259">
        <v>1128</v>
      </c>
      <c r="J16" s="259">
        <v>1136</v>
      </c>
      <c r="K16" s="259">
        <v>1127</v>
      </c>
      <c r="L16" s="259">
        <v>1104</v>
      </c>
      <c r="M16" s="259">
        <v>1051</v>
      </c>
      <c r="N16" s="259">
        <v>1103</v>
      </c>
      <c r="O16" s="259">
        <v>1022</v>
      </c>
      <c r="P16" s="259">
        <v>1170</v>
      </c>
      <c r="Q16" s="259">
        <v>1098</v>
      </c>
    </row>
    <row r="17" spans="1:18" s="86" customFormat="1" ht="20.100000000000001" customHeight="1" x14ac:dyDescent="0.2">
      <c r="B17" s="188">
        <v>4</v>
      </c>
      <c r="C17" s="219" t="s">
        <v>389</v>
      </c>
      <c r="D17" s="259">
        <v>688</v>
      </c>
      <c r="E17" s="259">
        <v>688</v>
      </c>
      <c r="F17" s="259">
        <v>615</v>
      </c>
      <c r="G17" s="259">
        <v>621</v>
      </c>
      <c r="H17" s="259">
        <v>46</v>
      </c>
      <c r="I17" s="259">
        <v>221</v>
      </c>
      <c r="J17" s="259">
        <v>161</v>
      </c>
      <c r="K17" s="259">
        <v>436</v>
      </c>
      <c r="L17" s="259">
        <v>632</v>
      </c>
      <c r="M17" s="259">
        <v>629</v>
      </c>
      <c r="N17" s="259">
        <v>630</v>
      </c>
      <c r="O17" s="259">
        <v>398</v>
      </c>
      <c r="P17" s="259">
        <v>628</v>
      </c>
      <c r="Q17" s="259">
        <v>596</v>
      </c>
      <c r="R17" s="114"/>
    </row>
    <row r="18" spans="1:18" s="86" customFormat="1" ht="20.100000000000001" customHeight="1" x14ac:dyDescent="0.2">
      <c r="B18" s="188">
        <v>5</v>
      </c>
      <c r="C18" s="221" t="s">
        <v>390</v>
      </c>
      <c r="D18" s="236">
        <v>1443</v>
      </c>
      <c r="E18" s="236">
        <v>1443</v>
      </c>
      <c r="F18" s="236">
        <v>1257</v>
      </c>
      <c r="G18" s="236">
        <v>1247</v>
      </c>
      <c r="H18" s="236">
        <v>160</v>
      </c>
      <c r="I18" s="236">
        <v>1110</v>
      </c>
      <c r="J18" s="236">
        <v>939</v>
      </c>
      <c r="K18" s="236">
        <v>834</v>
      </c>
      <c r="L18" s="236">
        <v>813</v>
      </c>
      <c r="M18" s="236">
        <v>767</v>
      </c>
      <c r="N18" s="236">
        <v>1044</v>
      </c>
      <c r="O18" s="236">
        <v>777</v>
      </c>
      <c r="P18" s="236">
        <v>897</v>
      </c>
      <c r="Q18" s="236">
        <v>804</v>
      </c>
    </row>
    <row r="19" spans="1:18" s="86" customFormat="1" ht="20.100000000000001" customHeight="1" x14ac:dyDescent="0.2">
      <c r="A19" s="124" t="s">
        <v>308</v>
      </c>
      <c r="B19" s="188">
        <v>6</v>
      </c>
      <c r="C19" s="219" t="s">
        <v>391</v>
      </c>
      <c r="D19" s="236">
        <v>1082</v>
      </c>
      <c r="E19" s="236">
        <v>1082</v>
      </c>
      <c r="F19" s="236">
        <v>749</v>
      </c>
      <c r="G19" s="236">
        <v>771</v>
      </c>
      <c r="H19" s="236">
        <v>3</v>
      </c>
      <c r="I19" s="236">
        <v>735</v>
      </c>
      <c r="J19" s="236">
        <v>674</v>
      </c>
      <c r="K19" s="236">
        <v>667</v>
      </c>
      <c r="L19" s="236">
        <v>629</v>
      </c>
      <c r="M19" s="236">
        <v>622</v>
      </c>
      <c r="N19" s="236">
        <v>783</v>
      </c>
      <c r="O19" s="236">
        <v>765</v>
      </c>
      <c r="P19" s="236">
        <v>772</v>
      </c>
      <c r="Q19" s="236">
        <v>683</v>
      </c>
    </row>
    <row r="20" spans="1:18" ht="20.100000000000001" customHeight="1" x14ac:dyDescent="0.2">
      <c r="B20" s="188">
        <v>7</v>
      </c>
      <c r="C20" s="221" t="s">
        <v>392</v>
      </c>
      <c r="D20" s="259">
        <v>1406</v>
      </c>
      <c r="E20" s="259">
        <v>1406</v>
      </c>
      <c r="F20" s="259">
        <v>1124</v>
      </c>
      <c r="G20" s="259">
        <v>1172</v>
      </c>
      <c r="H20" s="259">
        <v>192</v>
      </c>
      <c r="I20" s="259">
        <v>1062</v>
      </c>
      <c r="J20" s="259">
        <v>1000</v>
      </c>
      <c r="K20" s="259">
        <v>949</v>
      </c>
      <c r="L20" s="259">
        <v>906</v>
      </c>
      <c r="M20" s="259">
        <v>929</v>
      </c>
      <c r="N20" s="259">
        <v>1128</v>
      </c>
      <c r="O20" s="259">
        <v>842</v>
      </c>
      <c r="P20" s="259">
        <v>1093</v>
      </c>
      <c r="Q20" s="259">
        <v>1018</v>
      </c>
    </row>
    <row r="21" spans="1:18" ht="20.100000000000001" customHeight="1" x14ac:dyDescent="0.2">
      <c r="B21" s="188">
        <v>8</v>
      </c>
      <c r="C21" s="219" t="s">
        <v>393</v>
      </c>
      <c r="D21" s="259">
        <v>2146</v>
      </c>
      <c r="E21" s="259">
        <v>2146</v>
      </c>
      <c r="F21" s="259">
        <v>1943</v>
      </c>
      <c r="G21" s="259">
        <v>1914</v>
      </c>
      <c r="H21" s="259">
        <v>29</v>
      </c>
      <c r="I21" s="259">
        <v>1636</v>
      </c>
      <c r="J21" s="259">
        <v>1362</v>
      </c>
      <c r="K21" s="259">
        <v>1301</v>
      </c>
      <c r="L21" s="259">
        <v>1350</v>
      </c>
      <c r="M21" s="259">
        <v>1316</v>
      </c>
      <c r="N21" s="259">
        <v>1799</v>
      </c>
      <c r="O21" s="259">
        <v>1632</v>
      </c>
      <c r="P21" s="259">
        <v>1751</v>
      </c>
      <c r="Q21" s="259">
        <v>1646</v>
      </c>
    </row>
    <row r="22" spans="1:18" ht="20.100000000000001" customHeight="1" x14ac:dyDescent="0.2">
      <c r="B22" s="188">
        <v>9</v>
      </c>
      <c r="C22" s="219" t="s">
        <v>394</v>
      </c>
      <c r="D22" s="259">
        <v>1532</v>
      </c>
      <c r="E22" s="259">
        <v>1532</v>
      </c>
      <c r="F22" s="259">
        <v>967</v>
      </c>
      <c r="G22" s="259">
        <v>961</v>
      </c>
      <c r="H22" s="259">
        <v>199</v>
      </c>
      <c r="I22" s="259">
        <v>872</v>
      </c>
      <c r="J22" s="259">
        <v>803</v>
      </c>
      <c r="K22" s="259">
        <v>728</v>
      </c>
      <c r="L22" s="259">
        <v>721</v>
      </c>
      <c r="M22" s="259">
        <v>571</v>
      </c>
      <c r="N22" s="259">
        <v>733</v>
      </c>
      <c r="O22" s="259">
        <v>464</v>
      </c>
      <c r="P22" s="259">
        <v>698</v>
      </c>
      <c r="Q22" s="259">
        <v>754</v>
      </c>
    </row>
    <row r="23" spans="1:18" ht="20.100000000000001" customHeight="1" x14ac:dyDescent="0.2">
      <c r="B23" s="188">
        <v>10</v>
      </c>
      <c r="C23" s="219" t="s">
        <v>395</v>
      </c>
      <c r="D23" s="259">
        <v>797</v>
      </c>
      <c r="E23" s="259">
        <v>797</v>
      </c>
      <c r="F23" s="259">
        <v>644</v>
      </c>
      <c r="G23" s="259">
        <v>672</v>
      </c>
      <c r="H23" s="259">
        <v>1</v>
      </c>
      <c r="I23" s="259">
        <v>486</v>
      </c>
      <c r="J23" s="259">
        <v>388</v>
      </c>
      <c r="K23" s="259">
        <v>346</v>
      </c>
      <c r="L23" s="259">
        <v>319</v>
      </c>
      <c r="M23" s="259">
        <v>449</v>
      </c>
      <c r="N23" s="259">
        <v>686</v>
      </c>
      <c r="O23" s="259">
        <v>619</v>
      </c>
      <c r="P23" s="259">
        <v>671</v>
      </c>
      <c r="Q23" s="259">
        <v>597</v>
      </c>
    </row>
    <row r="24" spans="1:18" ht="20.100000000000001" customHeight="1" x14ac:dyDescent="0.2">
      <c r="B24" s="188">
        <v>11</v>
      </c>
      <c r="C24" s="219" t="s">
        <v>396</v>
      </c>
      <c r="D24" s="259">
        <v>1921</v>
      </c>
      <c r="E24" s="259">
        <v>1921</v>
      </c>
      <c r="F24" s="259">
        <v>1704</v>
      </c>
      <c r="G24" s="259">
        <v>1728</v>
      </c>
      <c r="H24" s="259">
        <v>19</v>
      </c>
      <c r="I24" s="259">
        <v>1712</v>
      </c>
      <c r="J24" s="259">
        <v>1793</v>
      </c>
      <c r="K24" s="259">
        <v>1788</v>
      </c>
      <c r="L24" s="259">
        <v>1802</v>
      </c>
      <c r="M24" s="259">
        <v>1797</v>
      </c>
      <c r="N24" s="259">
        <v>1807</v>
      </c>
      <c r="O24" s="259">
        <v>1783</v>
      </c>
      <c r="P24" s="259">
        <v>1798</v>
      </c>
      <c r="Q24" s="259">
        <v>1718</v>
      </c>
    </row>
    <row r="25" spans="1:18" ht="20.100000000000001" customHeight="1" x14ac:dyDescent="0.2">
      <c r="B25" s="188">
        <v>12</v>
      </c>
      <c r="C25" s="219" t="s">
        <v>397</v>
      </c>
      <c r="D25" s="259">
        <v>1276</v>
      </c>
      <c r="E25" s="259">
        <v>1276</v>
      </c>
      <c r="F25" s="259">
        <v>1046</v>
      </c>
      <c r="G25" s="259">
        <v>1102</v>
      </c>
      <c r="H25" s="259">
        <v>6</v>
      </c>
      <c r="I25" s="259">
        <v>807</v>
      </c>
      <c r="J25" s="259">
        <v>677</v>
      </c>
      <c r="K25" s="259">
        <v>645</v>
      </c>
      <c r="L25" s="259">
        <v>623</v>
      </c>
      <c r="M25" s="259">
        <v>787</v>
      </c>
      <c r="N25" s="259">
        <v>973</v>
      </c>
      <c r="O25" s="259">
        <v>929</v>
      </c>
      <c r="P25" s="259">
        <v>957</v>
      </c>
      <c r="Q25" s="259">
        <v>854</v>
      </c>
    </row>
    <row r="26" spans="1:18" ht="20.100000000000001" customHeight="1" x14ac:dyDescent="0.2">
      <c r="B26" s="188">
        <v>13</v>
      </c>
      <c r="C26" s="219" t="s">
        <v>398</v>
      </c>
      <c r="D26" s="259">
        <v>1054</v>
      </c>
      <c r="E26" s="259">
        <v>1054</v>
      </c>
      <c r="F26" s="259">
        <v>855</v>
      </c>
      <c r="G26" s="259">
        <v>842</v>
      </c>
      <c r="H26" s="259">
        <v>50</v>
      </c>
      <c r="I26" s="259">
        <v>797</v>
      </c>
      <c r="J26" s="259">
        <v>770</v>
      </c>
      <c r="K26" s="259">
        <v>733</v>
      </c>
      <c r="L26" s="259">
        <v>702</v>
      </c>
      <c r="M26" s="259">
        <v>687</v>
      </c>
      <c r="N26" s="259">
        <v>713</v>
      </c>
      <c r="O26" s="259">
        <v>603</v>
      </c>
      <c r="P26" s="259">
        <v>667</v>
      </c>
      <c r="Q26" s="259">
        <v>651</v>
      </c>
    </row>
    <row r="27" spans="1:18" ht="20.100000000000001" customHeight="1" x14ac:dyDescent="0.2">
      <c r="B27" s="227" t="s">
        <v>18</v>
      </c>
      <c r="C27" s="227"/>
      <c r="D27" s="228">
        <f>SUM(D14:D26)</f>
        <v>17344</v>
      </c>
      <c r="E27" s="228">
        <f t="shared" ref="E27:M27" si="0">SUM(E14:E26)</f>
        <v>17344</v>
      </c>
      <c r="F27" s="228">
        <f t="shared" si="0"/>
        <v>14213</v>
      </c>
      <c r="G27" s="228">
        <f t="shared" si="0"/>
        <v>14409</v>
      </c>
      <c r="H27" s="228">
        <f t="shared" si="0"/>
        <v>993</v>
      </c>
      <c r="I27" s="228">
        <f t="shared" si="0"/>
        <v>12310</v>
      </c>
      <c r="J27" s="228">
        <f t="shared" si="0"/>
        <v>11037</v>
      </c>
      <c r="K27" s="228">
        <f t="shared" si="0"/>
        <v>10807</v>
      </c>
      <c r="L27" s="228">
        <f t="shared" si="0"/>
        <v>10857</v>
      </c>
      <c r="M27" s="228">
        <f t="shared" si="0"/>
        <v>10799</v>
      </c>
      <c r="N27" s="228">
        <f>SUM(N14:N26)</f>
        <v>13177</v>
      </c>
      <c r="O27" s="228">
        <f>SUM(O14:O26)</f>
        <v>11208</v>
      </c>
      <c r="P27" s="228">
        <f>SUM(P14:P26)</f>
        <v>12776</v>
      </c>
      <c r="Q27" s="228">
        <f>SUM(Q14:Q26)</f>
        <v>11977</v>
      </c>
    </row>
    <row r="28" spans="1:18" ht="20.100000000000001" customHeight="1" x14ac:dyDescent="0.2">
      <c r="B28" s="356"/>
      <c r="C28" s="356"/>
      <c r="D28" s="511"/>
      <c r="E28" s="511"/>
      <c r="F28" s="511"/>
      <c r="G28" s="511"/>
      <c r="H28" s="511"/>
      <c r="I28" s="511"/>
      <c r="J28" s="511"/>
      <c r="K28" s="511"/>
      <c r="L28" s="511"/>
      <c r="M28" s="511"/>
      <c r="N28" s="511"/>
      <c r="O28" s="511"/>
      <c r="P28" s="511"/>
      <c r="Q28" s="511"/>
    </row>
    <row r="29" spans="1:18" ht="20.100000000000001" customHeight="1" x14ac:dyDescent="0.2">
      <c r="B29" s="356"/>
      <c r="C29" s="356"/>
      <c r="D29" s="511"/>
      <c r="E29" s="511"/>
      <c r="F29" s="511"/>
      <c r="G29" s="511"/>
      <c r="H29" s="511"/>
      <c r="I29" s="511"/>
      <c r="J29" s="511"/>
      <c r="K29" s="511"/>
      <c r="L29" s="511"/>
      <c r="M29" s="511"/>
      <c r="N29" s="511"/>
      <c r="O29" s="511"/>
      <c r="P29" s="511"/>
      <c r="Q29" s="1017">
        <f>AVERAGE(F27:Q27)</f>
        <v>11213.583333333334</v>
      </c>
    </row>
    <row r="30" spans="1:18" x14ac:dyDescent="0.2">
      <c r="Q30" s="1006">
        <f>Q29/D27</f>
        <v>0.64653962945879462</v>
      </c>
    </row>
    <row r="32" spans="1:18" x14ac:dyDescent="0.2">
      <c r="I32" s="1274" t="s">
        <v>626</v>
      </c>
      <c r="J32" s="1274"/>
      <c r="K32" s="1274"/>
      <c r="L32" s="1274"/>
      <c r="M32" s="1274"/>
      <c r="N32" s="1274"/>
      <c r="O32" s="1274"/>
      <c r="P32" s="1274"/>
      <c r="Q32" s="1274"/>
    </row>
    <row r="33" spans="2:17" x14ac:dyDescent="0.2">
      <c r="I33" s="1362" t="s">
        <v>13</v>
      </c>
      <c r="J33" s="1362"/>
      <c r="K33" s="1362"/>
      <c r="L33" s="1362"/>
      <c r="M33" s="1362"/>
      <c r="N33" s="1362"/>
      <c r="O33" s="1362"/>
      <c r="P33" s="1362"/>
      <c r="Q33" s="1362"/>
    </row>
    <row r="34" spans="2:17" x14ac:dyDescent="0.2">
      <c r="I34" s="1362" t="s">
        <v>87</v>
      </c>
      <c r="J34" s="1362"/>
      <c r="K34" s="1362"/>
      <c r="L34" s="1362"/>
      <c r="M34" s="1362"/>
      <c r="N34" s="1362"/>
      <c r="O34" s="1362"/>
      <c r="P34" s="1362"/>
      <c r="Q34" s="1362"/>
    </row>
    <row r="35" spans="2:17" x14ac:dyDescent="0.2">
      <c r="B35" s="114" t="s">
        <v>11</v>
      </c>
      <c r="I35" s="1438" t="s">
        <v>84</v>
      </c>
      <c r="J35" s="1438"/>
      <c r="K35" s="1438"/>
      <c r="L35" s="1438"/>
      <c r="M35" s="321"/>
      <c r="N35" s="706"/>
      <c r="O35" s="706"/>
      <c r="P35" s="706"/>
      <c r="Q35" s="321"/>
    </row>
  </sheetData>
  <mergeCells count="19">
    <mergeCell ref="I33:Q33"/>
    <mergeCell ref="I34:Q34"/>
    <mergeCell ref="I35:L35"/>
    <mergeCell ref="B11:B12"/>
    <mergeCell ref="C11:C12"/>
    <mergeCell ref="D11:D12"/>
    <mergeCell ref="E11:E12"/>
    <mergeCell ref="I32:Q32"/>
    <mergeCell ref="F11:Q11"/>
    <mergeCell ref="L10:Q10"/>
    <mergeCell ref="I1:J1"/>
    <mergeCell ref="A2:Q2"/>
    <mergeCell ref="A3:Q3"/>
    <mergeCell ref="A4:Q4"/>
    <mergeCell ref="B6:D6"/>
    <mergeCell ref="B8:E8"/>
    <mergeCell ref="B9:E9"/>
    <mergeCell ref="F9:H9"/>
    <mergeCell ref="F8:H8"/>
  </mergeCells>
  <printOptions horizontalCentered="1"/>
  <pageMargins left="0.43" right="0.33" top="0.23622047244094491" bottom="0" header="0.31496062992125984" footer="0.31496062992125984"/>
  <pageSetup paperSize="9" scale="74"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5" tint="0.39997558519241921"/>
  </sheetPr>
  <dimension ref="A1:M30"/>
  <sheetViews>
    <sheetView topLeftCell="A7" workbookViewId="0">
      <selection activeCell="G10" sqref="G10:M10"/>
    </sheetView>
  </sheetViews>
  <sheetFormatPr defaultColWidth="10.140625" defaultRowHeight="12.75" x14ac:dyDescent="0.2"/>
  <cols>
    <col min="1" max="1" width="7" customWidth="1"/>
    <col min="2" max="2" width="16.42578125" customWidth="1"/>
    <col min="3" max="3" width="10.140625" customWidth="1"/>
    <col min="4" max="4" width="8.7109375" customWidth="1"/>
    <col min="5" max="8" width="10.140625" customWidth="1"/>
    <col min="9" max="9" width="13" customWidth="1"/>
    <col min="10" max="10" width="10.28515625" customWidth="1"/>
    <col min="11" max="11" width="11.85546875" customWidth="1"/>
    <col min="12" max="12" width="10.140625" customWidth="1"/>
  </cols>
  <sheetData>
    <row r="1" spans="1:13" ht="16.5" x14ac:dyDescent="0.3">
      <c r="H1" s="1454" t="s">
        <v>667</v>
      </c>
      <c r="I1" s="1454"/>
      <c r="J1" s="1454"/>
      <c r="K1" s="1454"/>
      <c r="L1" s="1454"/>
      <c r="M1" s="1454"/>
    </row>
    <row r="2" spans="1:13" ht="18" customHeight="1" x14ac:dyDescent="0.35">
      <c r="A2" s="1310" t="s">
        <v>0</v>
      </c>
      <c r="B2" s="1310"/>
      <c r="C2" s="1310"/>
      <c r="D2" s="1310"/>
      <c r="E2" s="1310"/>
      <c r="F2" s="1310"/>
      <c r="G2" s="1310"/>
      <c r="H2" s="1310"/>
      <c r="I2" s="1310"/>
      <c r="J2" s="1310"/>
      <c r="K2" s="1310"/>
      <c r="L2" s="1310"/>
      <c r="M2" s="1310"/>
    </row>
    <row r="3" spans="1:13" ht="21" x14ac:dyDescent="0.35">
      <c r="A3" s="1312" t="s">
        <v>788</v>
      </c>
      <c r="B3" s="1312"/>
      <c r="C3" s="1312"/>
      <c r="D3" s="1312"/>
      <c r="E3" s="1312"/>
      <c r="F3" s="1312"/>
      <c r="G3" s="1312"/>
      <c r="H3" s="1312"/>
      <c r="I3" s="1312"/>
      <c r="J3" s="1312"/>
      <c r="K3" s="1312"/>
      <c r="L3" s="1312"/>
      <c r="M3" s="1312"/>
    </row>
    <row r="4" spans="1:13" s="324" customFormat="1" ht="21" x14ac:dyDescent="0.2">
      <c r="A4" s="1455" t="s">
        <v>666</v>
      </c>
      <c r="B4" s="1455"/>
      <c r="C4" s="1455"/>
      <c r="D4" s="1455"/>
      <c r="E4" s="1455"/>
      <c r="F4" s="1455"/>
      <c r="G4" s="1455"/>
      <c r="H4" s="1455"/>
      <c r="I4" s="1455"/>
      <c r="J4" s="1455"/>
      <c r="K4" s="1455"/>
      <c r="L4" s="1455"/>
      <c r="M4" s="1455"/>
    </row>
    <row r="5" spans="1:13" x14ac:dyDescent="0.2">
      <c r="A5" s="1236" t="s">
        <v>575</v>
      </c>
      <c r="B5" s="1236"/>
      <c r="C5" s="1236"/>
      <c r="D5" s="1236"/>
      <c r="E5" s="1236"/>
      <c r="F5" s="1236"/>
      <c r="G5" s="1236"/>
      <c r="H5" s="1163" t="s">
        <v>812</v>
      </c>
      <c r="I5" s="1163"/>
      <c r="J5" s="1163"/>
      <c r="K5" s="1163"/>
      <c r="L5" s="1163"/>
      <c r="M5" s="1163"/>
    </row>
    <row r="6" spans="1:13" x14ac:dyDescent="0.2">
      <c r="A6" s="1456" t="s">
        <v>74</v>
      </c>
      <c r="B6" s="1456" t="s">
        <v>320</v>
      </c>
      <c r="C6" s="1459" t="s">
        <v>536</v>
      </c>
      <c r="D6" s="1460"/>
      <c r="E6" s="1460"/>
      <c r="F6" s="1460"/>
      <c r="G6" s="1461"/>
      <c r="H6" s="1272" t="s">
        <v>537</v>
      </c>
      <c r="I6" s="1272"/>
      <c r="J6" s="1272"/>
      <c r="K6" s="1272"/>
      <c r="L6" s="1272"/>
      <c r="M6" s="1277" t="s">
        <v>321</v>
      </c>
    </row>
    <row r="7" spans="1:13" x14ac:dyDescent="0.2">
      <c r="A7" s="1457"/>
      <c r="B7" s="1457"/>
      <c r="C7" s="1462"/>
      <c r="D7" s="1463"/>
      <c r="E7" s="1463"/>
      <c r="F7" s="1463"/>
      <c r="G7" s="1464"/>
      <c r="H7" s="1272"/>
      <c r="I7" s="1272"/>
      <c r="J7" s="1272"/>
      <c r="K7" s="1272"/>
      <c r="L7" s="1272"/>
      <c r="M7" s="1278"/>
    </row>
    <row r="8" spans="1:13" x14ac:dyDescent="0.2">
      <c r="A8" s="1457"/>
      <c r="B8" s="1457"/>
      <c r="C8" s="1462"/>
      <c r="D8" s="1463"/>
      <c r="E8" s="1463"/>
      <c r="F8" s="1463"/>
      <c r="G8" s="1464"/>
      <c r="H8" s="1272"/>
      <c r="I8" s="1272"/>
      <c r="J8" s="1272"/>
      <c r="K8" s="1272"/>
      <c r="L8" s="1272"/>
      <c r="M8" s="1278"/>
    </row>
    <row r="9" spans="1:13" ht="71.25" x14ac:dyDescent="0.2">
      <c r="A9" s="1458"/>
      <c r="B9" s="1458"/>
      <c r="C9" s="302" t="s">
        <v>322</v>
      </c>
      <c r="D9" s="302" t="s">
        <v>323</v>
      </c>
      <c r="E9" s="302" t="s">
        <v>324</v>
      </c>
      <c r="F9" s="302" t="s">
        <v>325</v>
      </c>
      <c r="G9" s="302" t="s">
        <v>326</v>
      </c>
      <c r="H9" s="303" t="s">
        <v>538</v>
      </c>
      <c r="I9" s="303" t="s">
        <v>539</v>
      </c>
      <c r="J9" s="303" t="s">
        <v>540</v>
      </c>
      <c r="K9" s="303" t="s">
        <v>541</v>
      </c>
      <c r="L9" s="303" t="s">
        <v>47</v>
      </c>
      <c r="M9" s="1279"/>
    </row>
    <row r="10" spans="1:13" ht="15" x14ac:dyDescent="0.25">
      <c r="A10" s="296">
        <v>1</v>
      </c>
      <c r="B10" s="296">
        <v>2</v>
      </c>
      <c r="C10" s="296">
        <v>3</v>
      </c>
      <c r="D10" s="296">
        <v>4</v>
      </c>
      <c r="E10" s="296">
        <v>5</v>
      </c>
      <c r="F10" s="296">
        <v>6</v>
      </c>
      <c r="G10" s="296">
        <v>7</v>
      </c>
      <c r="H10" s="296">
        <v>8</v>
      </c>
      <c r="I10" s="296">
        <v>9</v>
      </c>
      <c r="J10" s="296">
        <v>10</v>
      </c>
      <c r="K10" s="296">
        <v>11</v>
      </c>
      <c r="L10" s="296">
        <v>12</v>
      </c>
      <c r="M10" s="296">
        <v>13</v>
      </c>
    </row>
    <row r="11" spans="1:13" ht="15" x14ac:dyDescent="0.2">
      <c r="A11" s="212">
        <v>1</v>
      </c>
      <c r="B11" s="219" t="s">
        <v>386</v>
      </c>
      <c r="C11" s="322">
        <v>0</v>
      </c>
      <c r="D11" s="322">
        <v>0</v>
      </c>
      <c r="E11" s="322">
        <v>0</v>
      </c>
      <c r="F11" s="322">
        <v>0</v>
      </c>
      <c r="G11" s="322">
        <v>0</v>
      </c>
      <c r="H11" s="322">
        <v>0</v>
      </c>
      <c r="I11" s="322">
        <v>0</v>
      </c>
      <c r="J11" s="322">
        <v>0</v>
      </c>
      <c r="K11" s="322">
        <v>0</v>
      </c>
      <c r="L11" s="322">
        <v>0</v>
      </c>
      <c r="M11" s="297"/>
    </row>
    <row r="12" spans="1:13" ht="15" x14ac:dyDescent="0.2">
      <c r="A12" s="212">
        <v>2</v>
      </c>
      <c r="B12" s="219" t="s">
        <v>387</v>
      </c>
      <c r="C12" s="322">
        <v>0</v>
      </c>
      <c r="D12" s="322">
        <v>0</v>
      </c>
      <c r="E12" s="322">
        <v>0</v>
      </c>
      <c r="F12" s="322">
        <v>0</v>
      </c>
      <c r="G12" s="322">
        <v>0</v>
      </c>
      <c r="H12" s="322">
        <v>0</v>
      </c>
      <c r="I12" s="322">
        <v>0</v>
      </c>
      <c r="J12" s="322">
        <v>0</v>
      </c>
      <c r="K12" s="322">
        <v>0</v>
      </c>
      <c r="L12" s="322">
        <v>0</v>
      </c>
      <c r="M12" s="298"/>
    </row>
    <row r="13" spans="1:13" ht="15" x14ac:dyDescent="0.2">
      <c r="A13" s="212">
        <v>3</v>
      </c>
      <c r="B13" s="219" t="s">
        <v>388</v>
      </c>
      <c r="C13" s="322">
        <v>0</v>
      </c>
      <c r="D13" s="322">
        <v>0</v>
      </c>
      <c r="E13" s="322">
        <v>0</v>
      </c>
      <c r="F13" s="322">
        <v>0</v>
      </c>
      <c r="G13" s="322">
        <v>0</v>
      </c>
      <c r="H13" s="322">
        <v>0</v>
      </c>
      <c r="I13" s="322">
        <v>0</v>
      </c>
      <c r="J13" s="322">
        <v>0</v>
      </c>
      <c r="K13" s="322">
        <v>0</v>
      </c>
      <c r="L13" s="322">
        <v>0</v>
      </c>
      <c r="M13" s="298"/>
    </row>
    <row r="14" spans="1:13" ht="15" x14ac:dyDescent="0.2">
      <c r="A14" s="212">
        <v>4</v>
      </c>
      <c r="B14" s="219" t="s">
        <v>389</v>
      </c>
      <c r="C14" s="322">
        <v>0</v>
      </c>
      <c r="D14" s="322">
        <v>0</v>
      </c>
      <c r="E14" s="322">
        <v>0</v>
      </c>
      <c r="F14" s="322">
        <v>0</v>
      </c>
      <c r="G14" s="322">
        <v>0</v>
      </c>
      <c r="H14" s="322">
        <v>0</v>
      </c>
      <c r="I14" s="322">
        <v>0</v>
      </c>
      <c r="J14" s="322">
        <v>0</v>
      </c>
      <c r="K14" s="322">
        <v>0</v>
      </c>
      <c r="L14" s="322">
        <v>0</v>
      </c>
      <c r="M14" s="298"/>
    </row>
    <row r="15" spans="1:13" ht="15" x14ac:dyDescent="0.2">
      <c r="A15" s="212">
        <v>5</v>
      </c>
      <c r="B15" s="221" t="s">
        <v>390</v>
      </c>
      <c r="C15" s="322">
        <v>0</v>
      </c>
      <c r="D15" s="322">
        <v>0</v>
      </c>
      <c r="E15" s="322">
        <v>0</v>
      </c>
      <c r="F15" s="322">
        <v>0</v>
      </c>
      <c r="G15" s="322">
        <v>0</v>
      </c>
      <c r="H15" s="322">
        <v>0</v>
      </c>
      <c r="I15" s="322">
        <v>0</v>
      </c>
      <c r="J15" s="322">
        <v>0</v>
      </c>
      <c r="K15" s="322">
        <v>0</v>
      </c>
      <c r="L15" s="322">
        <v>0</v>
      </c>
      <c r="M15" s="6"/>
    </row>
    <row r="16" spans="1:13" ht="15" x14ac:dyDescent="0.2">
      <c r="A16" s="212">
        <v>6</v>
      </c>
      <c r="B16" s="219" t="s">
        <v>391</v>
      </c>
      <c r="C16" s="322">
        <v>0</v>
      </c>
      <c r="D16" s="322">
        <v>0</v>
      </c>
      <c r="E16" s="322">
        <v>0</v>
      </c>
      <c r="F16" s="322">
        <v>0</v>
      </c>
      <c r="G16" s="322">
        <v>0</v>
      </c>
      <c r="H16" s="322">
        <v>0</v>
      </c>
      <c r="I16" s="322">
        <v>0</v>
      </c>
      <c r="J16" s="322">
        <v>0</v>
      </c>
      <c r="K16" s="322">
        <v>0</v>
      </c>
      <c r="L16" s="322">
        <v>0</v>
      </c>
      <c r="M16" s="6"/>
    </row>
    <row r="17" spans="1:13" ht="15" x14ac:dyDescent="0.2">
      <c r="A17" s="212">
        <v>7</v>
      </c>
      <c r="B17" s="221" t="s">
        <v>392</v>
      </c>
      <c r="C17" s="322">
        <v>0</v>
      </c>
      <c r="D17" s="322">
        <v>0</v>
      </c>
      <c r="E17" s="322">
        <v>0</v>
      </c>
      <c r="F17" s="322">
        <v>0</v>
      </c>
      <c r="G17" s="322">
        <v>0</v>
      </c>
      <c r="H17" s="322">
        <v>0</v>
      </c>
      <c r="I17" s="322">
        <v>0</v>
      </c>
      <c r="J17" s="322">
        <v>0</v>
      </c>
      <c r="K17" s="322">
        <v>0</v>
      </c>
      <c r="L17" s="322">
        <v>0</v>
      </c>
      <c r="M17" s="6"/>
    </row>
    <row r="18" spans="1:13" ht="15" x14ac:dyDescent="0.2">
      <c r="A18" s="212">
        <v>8</v>
      </c>
      <c r="B18" s="219" t="s">
        <v>393</v>
      </c>
      <c r="C18" s="322">
        <v>0</v>
      </c>
      <c r="D18" s="322">
        <v>0</v>
      </c>
      <c r="E18" s="322">
        <v>0</v>
      </c>
      <c r="F18" s="322">
        <v>0</v>
      </c>
      <c r="G18" s="322">
        <v>0</v>
      </c>
      <c r="H18" s="322">
        <v>0</v>
      </c>
      <c r="I18" s="322">
        <v>0</v>
      </c>
      <c r="J18" s="322">
        <v>0</v>
      </c>
      <c r="K18" s="322">
        <v>0</v>
      </c>
      <c r="L18" s="322">
        <v>0</v>
      </c>
      <c r="M18" s="6"/>
    </row>
    <row r="19" spans="1:13" ht="15" x14ac:dyDescent="0.2">
      <c r="A19" s="212">
        <v>9</v>
      </c>
      <c r="B19" s="219" t="s">
        <v>394</v>
      </c>
      <c r="C19" s="322">
        <v>0</v>
      </c>
      <c r="D19" s="322">
        <v>0</v>
      </c>
      <c r="E19" s="322">
        <v>0</v>
      </c>
      <c r="F19" s="322">
        <v>0</v>
      </c>
      <c r="G19" s="322">
        <v>0</v>
      </c>
      <c r="H19" s="322">
        <v>0</v>
      </c>
      <c r="I19" s="322">
        <v>0</v>
      </c>
      <c r="J19" s="322">
        <v>0</v>
      </c>
      <c r="K19" s="322">
        <v>0</v>
      </c>
      <c r="L19" s="322">
        <v>0</v>
      </c>
      <c r="M19" s="6"/>
    </row>
    <row r="20" spans="1:13" ht="15" x14ac:dyDescent="0.2">
      <c r="A20" s="212">
        <v>10</v>
      </c>
      <c r="B20" s="219" t="s">
        <v>395</v>
      </c>
      <c r="C20" s="322">
        <v>0</v>
      </c>
      <c r="D20" s="322">
        <v>0</v>
      </c>
      <c r="E20" s="322">
        <v>0</v>
      </c>
      <c r="F20" s="322">
        <v>0</v>
      </c>
      <c r="G20" s="322">
        <v>0</v>
      </c>
      <c r="H20" s="322">
        <v>0</v>
      </c>
      <c r="I20" s="322">
        <v>0</v>
      </c>
      <c r="J20" s="322">
        <v>0</v>
      </c>
      <c r="K20" s="322">
        <v>0</v>
      </c>
      <c r="L20" s="322">
        <v>0</v>
      </c>
      <c r="M20" s="6"/>
    </row>
    <row r="21" spans="1:13" ht="15" x14ac:dyDescent="0.2">
      <c r="A21" s="212">
        <v>11</v>
      </c>
      <c r="B21" s="219" t="s">
        <v>396</v>
      </c>
      <c r="C21" s="322">
        <v>0</v>
      </c>
      <c r="D21" s="322">
        <v>0</v>
      </c>
      <c r="E21" s="322">
        <v>0</v>
      </c>
      <c r="F21" s="322">
        <v>0</v>
      </c>
      <c r="G21" s="322">
        <v>0</v>
      </c>
      <c r="H21" s="322">
        <v>0</v>
      </c>
      <c r="I21" s="322">
        <v>0</v>
      </c>
      <c r="J21" s="322">
        <v>0</v>
      </c>
      <c r="K21" s="322">
        <v>0</v>
      </c>
      <c r="L21" s="322">
        <v>0</v>
      </c>
      <c r="M21" s="6"/>
    </row>
    <row r="22" spans="1:13" ht="15" x14ac:dyDescent="0.2">
      <c r="A22" s="212">
        <v>12</v>
      </c>
      <c r="B22" s="219" t="s">
        <v>397</v>
      </c>
      <c r="C22" s="322">
        <v>0</v>
      </c>
      <c r="D22" s="322">
        <v>0</v>
      </c>
      <c r="E22" s="322">
        <v>0</v>
      </c>
      <c r="F22" s="322">
        <v>0</v>
      </c>
      <c r="G22" s="322">
        <v>0</v>
      </c>
      <c r="H22" s="322">
        <v>0</v>
      </c>
      <c r="I22" s="322">
        <v>0</v>
      </c>
      <c r="J22" s="322">
        <v>0</v>
      </c>
      <c r="K22" s="322">
        <v>0</v>
      </c>
      <c r="L22" s="322">
        <v>0</v>
      </c>
      <c r="M22" s="6"/>
    </row>
    <row r="23" spans="1:13" ht="15" x14ac:dyDescent="0.2">
      <c r="A23" s="212">
        <v>13</v>
      </c>
      <c r="B23" s="219" t="s">
        <v>398</v>
      </c>
      <c r="C23" s="322">
        <v>0</v>
      </c>
      <c r="D23" s="322">
        <v>0</v>
      </c>
      <c r="E23" s="322">
        <v>0</v>
      </c>
      <c r="F23" s="322">
        <v>0</v>
      </c>
      <c r="G23" s="322">
        <v>0</v>
      </c>
      <c r="H23" s="322">
        <v>0</v>
      </c>
      <c r="I23" s="322">
        <v>0</v>
      </c>
      <c r="J23" s="322">
        <v>0</v>
      </c>
      <c r="K23" s="322">
        <v>0</v>
      </c>
      <c r="L23" s="322">
        <v>0</v>
      </c>
      <c r="M23" s="6"/>
    </row>
    <row r="24" spans="1:13" s="11" customFormat="1" x14ac:dyDescent="0.2">
      <c r="A24" s="188" t="s">
        <v>18</v>
      </c>
      <c r="B24" s="227"/>
      <c r="C24" s="323">
        <v>0</v>
      </c>
      <c r="D24" s="323">
        <v>0</v>
      </c>
      <c r="E24" s="323">
        <v>0</v>
      </c>
      <c r="F24" s="323">
        <v>0</v>
      </c>
      <c r="G24" s="323">
        <v>0</v>
      </c>
      <c r="H24" s="323">
        <v>0</v>
      </c>
      <c r="I24" s="323">
        <v>0</v>
      </c>
      <c r="J24" s="323">
        <v>0</v>
      </c>
      <c r="K24" s="323">
        <v>0</v>
      </c>
      <c r="L24" s="323">
        <v>0</v>
      </c>
      <c r="M24" s="19"/>
    </row>
    <row r="27" spans="1:13" x14ac:dyDescent="0.2">
      <c r="A27" s="114"/>
      <c r="B27" s="114"/>
      <c r="C27" s="114"/>
      <c r="D27" s="114"/>
      <c r="I27" s="1274" t="s">
        <v>12</v>
      </c>
      <c r="J27" s="1274"/>
      <c r="K27" s="115"/>
      <c r="L27" s="115"/>
    </row>
    <row r="28" spans="1:13" x14ac:dyDescent="0.2">
      <c r="A28" s="114"/>
      <c r="B28" s="114"/>
      <c r="C28" s="114"/>
      <c r="D28" s="114"/>
      <c r="G28" s="1274" t="s">
        <v>13</v>
      </c>
      <c r="H28" s="1274"/>
      <c r="I28" s="1274"/>
      <c r="J28" s="1274"/>
      <c r="K28" s="1274"/>
      <c r="L28" s="1274"/>
      <c r="M28" s="1274"/>
    </row>
    <row r="29" spans="1:13" x14ac:dyDescent="0.2">
      <c r="A29" s="114"/>
      <c r="B29" s="114"/>
      <c r="C29" s="114"/>
      <c r="D29" s="114"/>
      <c r="G29" s="1274" t="s">
        <v>87</v>
      </c>
      <c r="H29" s="1274"/>
      <c r="I29" s="1274"/>
      <c r="J29" s="1274"/>
      <c r="K29" s="1274"/>
      <c r="L29" s="1274"/>
      <c r="M29" s="1274"/>
    </row>
    <row r="30" spans="1:13" x14ac:dyDescent="0.2">
      <c r="A30" s="114" t="s">
        <v>11</v>
      </c>
      <c r="C30" s="114"/>
      <c r="D30" s="114"/>
      <c r="G30" s="1302" t="s">
        <v>84</v>
      </c>
      <c r="H30" s="1302"/>
      <c r="I30" s="116"/>
      <c r="J30" s="116"/>
      <c r="K30" s="116"/>
      <c r="L30" s="116"/>
    </row>
  </sheetData>
  <mergeCells count="15">
    <mergeCell ref="G30:H30"/>
    <mergeCell ref="A3:M3"/>
    <mergeCell ref="I27:J27"/>
    <mergeCell ref="G28:M28"/>
    <mergeCell ref="A6:A9"/>
    <mergeCell ref="B6:B9"/>
    <mergeCell ref="C6:G8"/>
    <mergeCell ref="H6:L8"/>
    <mergeCell ref="M6:M9"/>
    <mergeCell ref="G29:M29"/>
    <mergeCell ref="H1:M1"/>
    <mergeCell ref="A4:M4"/>
    <mergeCell ref="A5:G5"/>
    <mergeCell ref="H5:M5"/>
    <mergeCell ref="A2:M2"/>
  </mergeCells>
  <printOptions horizontalCentered="1"/>
  <pageMargins left="0.41" right="0.32" top="0.47" bottom="0.32" header="0.3" footer="0.22"/>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5" tint="0.39997558519241921"/>
    <pageSetUpPr fitToPage="1"/>
  </sheetPr>
  <dimension ref="A1:K47"/>
  <sheetViews>
    <sheetView view="pageBreakPreview" topLeftCell="A23" zoomScale="90" zoomScaleSheetLayoutView="90" workbookViewId="0">
      <selection activeCell="B11" sqref="B11"/>
    </sheetView>
  </sheetViews>
  <sheetFormatPr defaultRowHeight="12.75" x14ac:dyDescent="0.2"/>
  <cols>
    <col min="1" max="1" width="36" customWidth="1"/>
    <col min="2" max="2" width="37.85546875" customWidth="1"/>
    <col min="3" max="3" width="18.28515625" customWidth="1"/>
    <col min="4" max="4" width="28" customWidth="1"/>
    <col min="5" max="5" width="22.5703125" bestFit="1" customWidth="1"/>
    <col min="6" max="6" width="25.85546875" bestFit="1" customWidth="1"/>
  </cols>
  <sheetData>
    <row r="1" spans="1:11" x14ac:dyDescent="0.2">
      <c r="F1" s="131" t="s">
        <v>668</v>
      </c>
    </row>
    <row r="2" spans="1:11" ht="18" x14ac:dyDescent="0.35">
      <c r="A2" s="1310" t="s">
        <v>0</v>
      </c>
      <c r="B2" s="1310"/>
      <c r="C2" s="1310"/>
      <c r="D2" s="1310"/>
      <c r="E2" s="1310"/>
      <c r="F2" s="1310"/>
      <c r="G2" s="127"/>
      <c r="H2" s="127"/>
      <c r="I2" s="127"/>
      <c r="J2" s="127"/>
      <c r="K2" s="127"/>
    </row>
    <row r="3" spans="1:11" ht="21" x14ac:dyDescent="0.35">
      <c r="A3" s="1310" t="s">
        <v>788</v>
      </c>
      <c r="B3" s="1310"/>
      <c r="C3" s="1310"/>
      <c r="D3" s="1310"/>
      <c r="E3" s="1310"/>
      <c r="F3" s="1310"/>
      <c r="G3" s="128"/>
      <c r="H3" s="128"/>
      <c r="I3" s="128"/>
      <c r="J3" s="128"/>
      <c r="K3" s="128"/>
    </row>
    <row r="4" spans="1:11" x14ac:dyDescent="0.2">
      <c r="A4" s="92"/>
      <c r="B4" s="92"/>
      <c r="C4" s="92"/>
      <c r="D4" s="92"/>
      <c r="E4" s="92"/>
      <c r="F4" s="92"/>
    </row>
    <row r="5" spans="1:11" ht="21" x14ac:dyDescent="0.2">
      <c r="A5" s="1465" t="s">
        <v>669</v>
      </c>
      <c r="B5" s="1465"/>
      <c r="C5" s="1465"/>
      <c r="D5" s="1465"/>
      <c r="E5" s="1465"/>
      <c r="F5" s="1465"/>
    </row>
    <row r="6" spans="1:11" ht="18.75" x14ac:dyDescent="0.2">
      <c r="A6" s="1075" t="s">
        <v>456</v>
      </c>
      <c r="B6" s="1075"/>
      <c r="C6" s="1075"/>
      <c r="D6" s="132"/>
      <c r="E6" s="132"/>
      <c r="F6" s="132"/>
    </row>
    <row r="7" spans="1:11" ht="31.5" x14ac:dyDescent="0.25">
      <c r="A7" s="274"/>
      <c r="B7" s="274" t="s">
        <v>576</v>
      </c>
      <c r="C7" s="274" t="s">
        <v>460</v>
      </c>
      <c r="D7" s="274" t="s">
        <v>349</v>
      </c>
      <c r="E7" s="133"/>
      <c r="F7" s="133"/>
    </row>
    <row r="8" spans="1:11" ht="25.5" x14ac:dyDescent="0.25">
      <c r="A8" s="136" t="s">
        <v>350</v>
      </c>
      <c r="B8" s="225" t="s">
        <v>449</v>
      </c>
      <c r="C8" s="225" t="s">
        <v>450</v>
      </c>
      <c r="D8" s="225" t="s">
        <v>450</v>
      </c>
      <c r="E8" s="133"/>
      <c r="F8" s="133"/>
    </row>
    <row r="9" spans="1:11" ht="39.75" customHeight="1" x14ac:dyDescent="0.25">
      <c r="A9" s="136" t="s">
        <v>351</v>
      </c>
      <c r="B9" s="225" t="s">
        <v>451</v>
      </c>
      <c r="C9" s="225" t="s">
        <v>577</v>
      </c>
      <c r="D9" s="225" t="s">
        <v>452</v>
      </c>
      <c r="E9" s="133"/>
      <c r="F9" s="133"/>
    </row>
    <row r="10" spans="1:11" ht="13.5" customHeight="1" x14ac:dyDescent="0.25">
      <c r="A10" s="1467" t="s">
        <v>352</v>
      </c>
      <c r="B10" s="1468"/>
      <c r="C10" s="1468"/>
      <c r="D10" s="1469"/>
      <c r="E10" s="133"/>
      <c r="F10" s="133"/>
    </row>
    <row r="11" spans="1:11" ht="13.5" customHeight="1" x14ac:dyDescent="0.25">
      <c r="A11" s="136" t="s">
        <v>353</v>
      </c>
      <c r="B11" s="225">
        <v>18001804132</v>
      </c>
      <c r="C11" s="225" t="s">
        <v>453</v>
      </c>
      <c r="D11" s="225" t="s">
        <v>453</v>
      </c>
      <c r="E11" s="133"/>
      <c r="F11" s="133"/>
    </row>
    <row r="12" spans="1:11" ht="13.5" customHeight="1" x14ac:dyDescent="0.25">
      <c r="A12" s="136" t="s">
        <v>354</v>
      </c>
      <c r="B12" s="225" t="s">
        <v>453</v>
      </c>
      <c r="C12" s="225" t="s">
        <v>453</v>
      </c>
      <c r="D12" s="225" t="s">
        <v>453</v>
      </c>
      <c r="E12" s="133"/>
      <c r="F12" s="133"/>
    </row>
    <row r="13" spans="1:11" ht="13.5" customHeight="1" x14ac:dyDescent="0.25">
      <c r="A13" s="136" t="s">
        <v>355</v>
      </c>
      <c r="B13" s="225" t="s">
        <v>453</v>
      </c>
      <c r="C13" s="225" t="s">
        <v>453</v>
      </c>
      <c r="D13" s="225" t="s">
        <v>453</v>
      </c>
      <c r="E13" s="133"/>
      <c r="F13" s="133"/>
    </row>
    <row r="14" spans="1:11" ht="32.25" customHeight="1" x14ac:dyDescent="0.25">
      <c r="A14" s="136" t="s">
        <v>356</v>
      </c>
      <c r="B14" s="415" t="s">
        <v>748</v>
      </c>
      <c r="C14" s="225" t="s">
        <v>453</v>
      </c>
      <c r="D14" s="225" t="s">
        <v>453</v>
      </c>
      <c r="E14" s="133"/>
      <c r="F14" s="133"/>
    </row>
    <row r="15" spans="1:11" ht="13.5" customHeight="1" x14ac:dyDescent="0.25">
      <c r="A15" s="136" t="s">
        <v>357</v>
      </c>
      <c r="B15" s="225" t="s">
        <v>454</v>
      </c>
      <c r="C15" s="225" t="s">
        <v>453</v>
      </c>
      <c r="D15" s="225" t="s">
        <v>453</v>
      </c>
      <c r="E15" s="133"/>
      <c r="F15" s="133"/>
    </row>
    <row r="16" spans="1:11" ht="13.5" customHeight="1" x14ac:dyDescent="0.25">
      <c r="A16" s="136" t="s">
        <v>358</v>
      </c>
      <c r="B16" s="225" t="s">
        <v>453</v>
      </c>
      <c r="C16" s="225" t="s">
        <v>453</v>
      </c>
      <c r="D16" s="225" t="s">
        <v>453</v>
      </c>
      <c r="E16" s="133"/>
      <c r="F16" s="133"/>
    </row>
    <row r="17" spans="1:6" ht="13.5" customHeight="1" x14ac:dyDescent="0.25">
      <c r="A17" s="136" t="s">
        <v>359</v>
      </c>
      <c r="B17" s="225" t="s">
        <v>453</v>
      </c>
      <c r="C17" s="225" t="s">
        <v>453</v>
      </c>
      <c r="D17" s="225" t="s">
        <v>453</v>
      </c>
      <c r="E17" s="133"/>
      <c r="F17" s="133"/>
    </row>
    <row r="18" spans="1:6" ht="13.5" customHeight="1" x14ac:dyDescent="0.25">
      <c r="A18" s="136" t="s">
        <v>360</v>
      </c>
      <c r="B18" s="225" t="s">
        <v>455</v>
      </c>
      <c r="C18" s="225" t="s">
        <v>455</v>
      </c>
      <c r="D18" s="225" t="s">
        <v>455</v>
      </c>
      <c r="E18" s="133"/>
      <c r="F18" s="133"/>
    </row>
    <row r="19" spans="1:6" ht="13.5" customHeight="1" x14ac:dyDescent="0.25">
      <c r="A19" s="134"/>
      <c r="B19" s="135"/>
      <c r="C19" s="135"/>
      <c r="D19" s="135"/>
      <c r="E19" s="133"/>
      <c r="F19" s="133"/>
    </row>
    <row r="20" spans="1:6" ht="13.5" customHeight="1" x14ac:dyDescent="0.2">
      <c r="A20" s="1466" t="s">
        <v>361</v>
      </c>
      <c r="B20" s="1466"/>
      <c r="C20" s="1466"/>
      <c r="D20" s="1466"/>
      <c r="E20" s="1466"/>
      <c r="F20" s="1466"/>
    </row>
    <row r="21" spans="1:6" ht="15" x14ac:dyDescent="0.25">
      <c r="A21" s="133"/>
      <c r="B21" s="133"/>
      <c r="C21" s="133"/>
      <c r="D21" s="133"/>
      <c r="E21" s="1275" t="s">
        <v>812</v>
      </c>
      <c r="F21" s="1275"/>
    </row>
    <row r="22" spans="1:6" ht="36.75" customHeight="1" x14ac:dyDescent="0.2">
      <c r="A22" s="235" t="s">
        <v>362</v>
      </c>
      <c r="B22" s="235" t="s">
        <v>3</v>
      </c>
      <c r="C22" s="235" t="s">
        <v>363</v>
      </c>
      <c r="D22" s="275" t="s">
        <v>364</v>
      </c>
      <c r="E22" s="235" t="s">
        <v>365</v>
      </c>
      <c r="F22" s="235" t="s">
        <v>366</v>
      </c>
    </row>
    <row r="23" spans="1:6" ht="38.25" customHeight="1" x14ac:dyDescent="0.2">
      <c r="A23" s="136" t="s">
        <v>367</v>
      </c>
      <c r="B23" s="136"/>
      <c r="C23" s="136"/>
      <c r="D23" s="670"/>
      <c r="E23" s="136"/>
      <c r="F23" s="414"/>
    </row>
    <row r="24" spans="1:6" ht="15" x14ac:dyDescent="0.25">
      <c r="A24" s="136" t="s">
        <v>368</v>
      </c>
      <c r="B24" s="136" t="s">
        <v>390</v>
      </c>
      <c r="C24" s="136">
        <v>1</v>
      </c>
      <c r="D24" s="800">
        <v>2018</v>
      </c>
      <c r="E24" s="841" t="s">
        <v>747</v>
      </c>
      <c r="F24" s="841" t="s">
        <v>746</v>
      </c>
    </row>
    <row r="25" spans="1:6" ht="15" x14ac:dyDescent="0.25">
      <c r="A25" s="136" t="s">
        <v>369</v>
      </c>
      <c r="B25" s="136" t="s">
        <v>890</v>
      </c>
      <c r="C25" s="212">
        <v>3</v>
      </c>
      <c r="D25" s="800">
        <v>2018</v>
      </c>
      <c r="E25" s="684" t="s">
        <v>891</v>
      </c>
      <c r="F25" s="842" t="s">
        <v>892</v>
      </c>
    </row>
    <row r="26" spans="1:6" ht="25.5" x14ac:dyDescent="0.2">
      <c r="A26" s="136" t="s">
        <v>370</v>
      </c>
      <c r="B26" s="225"/>
      <c r="C26" s="668"/>
      <c r="D26" s="230"/>
      <c r="E26" s="219"/>
      <c r="F26" s="219"/>
    </row>
    <row r="27" spans="1:6" ht="27" customHeight="1" x14ac:dyDescent="0.2">
      <c r="A27" s="136" t="s">
        <v>371</v>
      </c>
      <c r="B27" s="225"/>
      <c r="C27" s="668"/>
      <c r="D27" s="229"/>
      <c r="E27" s="219"/>
      <c r="F27" s="219"/>
    </row>
    <row r="28" spans="1:6" ht="19.5" customHeight="1" x14ac:dyDescent="0.2">
      <c r="A28" s="136" t="s">
        <v>372</v>
      </c>
      <c r="B28" s="225"/>
      <c r="C28" s="668"/>
      <c r="D28" s="229"/>
      <c r="E28" s="219"/>
      <c r="F28" s="219"/>
    </row>
    <row r="29" spans="1:6" ht="19.5" customHeight="1" x14ac:dyDescent="0.25">
      <c r="A29" s="136" t="s">
        <v>373</v>
      </c>
      <c r="B29" s="136" t="s">
        <v>893</v>
      </c>
      <c r="C29" s="289">
        <v>5</v>
      </c>
      <c r="D29" s="800">
        <v>2018</v>
      </c>
      <c r="E29" s="841" t="s">
        <v>894</v>
      </c>
      <c r="F29" s="841" t="s">
        <v>746</v>
      </c>
    </row>
    <row r="30" spans="1:6" ht="19.5" customHeight="1" x14ac:dyDescent="0.2">
      <c r="A30" s="136" t="s">
        <v>374</v>
      </c>
      <c r="B30" s="136"/>
      <c r="C30" s="136"/>
      <c r="D30" s="670"/>
      <c r="E30" s="136"/>
      <c r="F30" s="414"/>
    </row>
    <row r="31" spans="1:6" ht="19.5" customHeight="1" x14ac:dyDescent="0.2">
      <c r="A31" s="136" t="s">
        <v>375</v>
      </c>
      <c r="B31" s="225"/>
      <c r="C31" s="225"/>
      <c r="D31" s="229"/>
      <c r="E31" s="219"/>
      <c r="F31" s="219"/>
    </row>
    <row r="32" spans="1:6" ht="19.5" customHeight="1" x14ac:dyDescent="0.2">
      <c r="A32" s="136" t="s">
        <v>376</v>
      </c>
      <c r="B32" s="225"/>
      <c r="C32" s="225"/>
      <c r="D32" s="229"/>
      <c r="E32" s="219"/>
      <c r="F32" s="219"/>
    </row>
    <row r="33" spans="1:6" ht="19.5" customHeight="1" x14ac:dyDescent="0.2">
      <c r="A33" s="136" t="s">
        <v>377</v>
      </c>
      <c r="B33" s="225"/>
      <c r="C33" s="225"/>
      <c r="D33" s="229"/>
      <c r="E33" s="219"/>
      <c r="F33" s="219"/>
    </row>
    <row r="34" spans="1:6" ht="19.5" customHeight="1" x14ac:dyDescent="0.2">
      <c r="A34" s="136" t="s">
        <v>378</v>
      </c>
      <c r="B34" s="225"/>
      <c r="C34" s="225"/>
      <c r="D34" s="229"/>
      <c r="E34" s="219"/>
      <c r="F34" s="219"/>
    </row>
    <row r="35" spans="1:6" ht="19.5" customHeight="1" x14ac:dyDescent="0.2">
      <c r="A35" s="136" t="s">
        <v>379</v>
      </c>
      <c r="B35" s="225"/>
      <c r="C35" s="225"/>
      <c r="D35" s="229"/>
      <c r="E35" s="219"/>
      <c r="F35" s="219"/>
    </row>
    <row r="36" spans="1:6" ht="19.5" customHeight="1" x14ac:dyDescent="0.2">
      <c r="A36" s="136" t="s">
        <v>380</v>
      </c>
      <c r="B36" s="136"/>
      <c r="C36" s="136"/>
      <c r="D36" s="670"/>
      <c r="E36" s="136"/>
      <c r="F36" s="414"/>
    </row>
    <row r="37" spans="1:6" ht="19.5" customHeight="1" x14ac:dyDescent="0.2">
      <c r="A37" s="136" t="s">
        <v>381</v>
      </c>
      <c r="B37" s="136"/>
      <c r="C37" s="136"/>
      <c r="D37" s="670"/>
      <c r="E37" s="416"/>
      <c r="F37" s="684"/>
    </row>
    <row r="38" spans="1:6" ht="19.5" customHeight="1" x14ac:dyDescent="0.2">
      <c r="A38" s="136" t="s">
        <v>382</v>
      </c>
      <c r="B38" s="136"/>
      <c r="C38" s="212"/>
      <c r="D38" s="212"/>
      <c r="E38" s="212"/>
      <c r="F38" s="212"/>
    </row>
    <row r="39" spans="1:6" ht="19.5" customHeight="1" x14ac:dyDescent="0.2">
      <c r="A39" s="136" t="s">
        <v>47</v>
      </c>
      <c r="B39" s="136"/>
      <c r="C39" s="136"/>
      <c r="D39" s="670"/>
      <c r="E39" s="136"/>
      <c r="F39" s="414"/>
    </row>
    <row r="40" spans="1:6" ht="19.5" customHeight="1" x14ac:dyDescent="0.2">
      <c r="A40" s="136" t="s">
        <v>18</v>
      </c>
      <c r="B40" s="225"/>
      <c r="C40" s="225">
        <v>9</v>
      </c>
      <c r="D40" s="229">
        <v>2018</v>
      </c>
      <c r="E40" s="219" t="s">
        <v>895</v>
      </c>
      <c r="F40" s="219" t="s">
        <v>896</v>
      </c>
    </row>
    <row r="44" spans="1:6" ht="15" customHeight="1" x14ac:dyDescent="0.2">
      <c r="A44" s="114"/>
      <c r="B44" s="114"/>
      <c r="C44" s="114"/>
      <c r="D44" s="1274" t="s">
        <v>12</v>
      </c>
      <c r="E44" s="1274"/>
      <c r="F44" s="124"/>
    </row>
    <row r="45" spans="1:6" ht="15" customHeight="1" x14ac:dyDescent="0.2">
      <c r="A45" s="114"/>
      <c r="B45" s="114"/>
      <c r="C45" s="114"/>
      <c r="D45" s="1274" t="s">
        <v>13</v>
      </c>
      <c r="E45" s="1274"/>
      <c r="F45" s="115"/>
    </row>
    <row r="46" spans="1:6" ht="15" customHeight="1" x14ac:dyDescent="0.2">
      <c r="A46" s="114"/>
      <c r="B46" s="114"/>
      <c r="C46" s="114"/>
      <c r="D46" s="1274" t="s">
        <v>87</v>
      </c>
      <c r="E46" s="1274"/>
      <c r="F46" s="115"/>
    </row>
    <row r="47" spans="1:6" x14ac:dyDescent="0.2">
      <c r="A47" s="114" t="s">
        <v>11</v>
      </c>
      <c r="C47" s="114"/>
      <c r="D47" s="116" t="s">
        <v>84</v>
      </c>
      <c r="E47" s="116"/>
      <c r="F47" s="116"/>
    </row>
  </sheetData>
  <mergeCells count="10">
    <mergeCell ref="A2:F2"/>
    <mergeCell ref="D45:E45"/>
    <mergeCell ref="D46:E46"/>
    <mergeCell ref="A3:F3"/>
    <mergeCell ref="A5:F5"/>
    <mergeCell ref="A20:F20"/>
    <mergeCell ref="E21:F21"/>
    <mergeCell ref="D44:E44"/>
    <mergeCell ref="A10:D10"/>
    <mergeCell ref="A6:C6"/>
  </mergeCells>
  <hyperlinks>
    <hyperlink ref="B14" r:id="rId1" display="mdmcell.uttarakhand@gmail.com"/>
  </hyperlinks>
  <printOptions horizontalCentered="1"/>
  <pageMargins left="0.70866141732283472" right="0.70866141732283472" top="0.15" bottom="0" header="0.31496062992125984" footer="0.31496062992125984"/>
  <pageSetup paperSize="9" scale="66" orientation="landscape"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5" tint="0.39997558519241921"/>
  </sheetPr>
  <dimension ref="B2:J23"/>
  <sheetViews>
    <sheetView view="pageBreakPreview" zoomScale="98" zoomScaleSheetLayoutView="98" workbookViewId="0">
      <selection activeCell="R11" sqref="R11"/>
    </sheetView>
  </sheetViews>
  <sheetFormatPr defaultRowHeight="12.75" x14ac:dyDescent="0.2"/>
  <sheetData>
    <row r="2" spans="2:10" x14ac:dyDescent="0.2">
      <c r="B2" s="11"/>
    </row>
    <row r="4" spans="2:10" ht="12.75" customHeight="1" x14ac:dyDescent="0.2"/>
    <row r="5" spans="2:10" ht="12.75" customHeight="1" x14ac:dyDescent="0.2"/>
    <row r="6" spans="2:10" ht="12.75" customHeight="1" x14ac:dyDescent="0.2"/>
    <row r="7" spans="2:10" ht="12.75" customHeight="1" x14ac:dyDescent="0.2"/>
    <row r="8" spans="2:10" ht="12.75" customHeight="1" x14ac:dyDescent="0.2"/>
    <row r="9" spans="2:10" ht="12.75" customHeight="1" x14ac:dyDescent="0.2"/>
    <row r="10" spans="2:10" ht="12.75" customHeight="1" x14ac:dyDescent="0.2"/>
    <row r="11" spans="2:10" ht="12.75" customHeight="1" x14ac:dyDescent="0.2"/>
    <row r="12" spans="2:10" ht="12.75" customHeight="1" x14ac:dyDescent="0.2"/>
    <row r="13" spans="2:10" ht="12.75" customHeight="1" x14ac:dyDescent="0.2"/>
    <row r="14" spans="2:10" x14ac:dyDescent="0.2">
      <c r="D14" s="1470" t="s">
        <v>1086</v>
      </c>
      <c r="E14" s="1470"/>
      <c r="F14" s="1470"/>
      <c r="G14" s="1470"/>
      <c r="H14" s="1470"/>
      <c r="I14" s="1470"/>
      <c r="J14" s="1470"/>
    </row>
    <row r="15" spans="2:10" x14ac:dyDescent="0.2">
      <c r="D15" s="1470"/>
      <c r="E15" s="1470"/>
      <c r="F15" s="1470"/>
      <c r="G15" s="1470"/>
      <c r="H15" s="1470"/>
      <c r="I15" s="1470"/>
      <c r="J15" s="1470"/>
    </row>
    <row r="16" spans="2:10" x14ac:dyDescent="0.2">
      <c r="D16" s="1470"/>
      <c r="E16" s="1470"/>
      <c r="F16" s="1470"/>
      <c r="G16" s="1470"/>
      <c r="H16" s="1470"/>
      <c r="I16" s="1470"/>
      <c r="J16" s="1470"/>
    </row>
    <row r="17" spans="4:10" x14ac:dyDescent="0.2">
      <c r="D17" s="1470"/>
      <c r="E17" s="1470"/>
      <c r="F17" s="1470"/>
      <c r="G17" s="1470"/>
      <c r="H17" s="1470"/>
      <c r="I17" s="1470"/>
      <c r="J17" s="1470"/>
    </row>
    <row r="18" spans="4:10" x14ac:dyDescent="0.2">
      <c r="D18" s="1470"/>
      <c r="E18" s="1470"/>
      <c r="F18" s="1470"/>
      <c r="G18" s="1470"/>
      <c r="H18" s="1470"/>
      <c r="I18" s="1470"/>
      <c r="J18" s="1470"/>
    </row>
    <row r="19" spans="4:10" x14ac:dyDescent="0.2">
      <c r="D19" s="1470"/>
      <c r="E19" s="1470"/>
      <c r="F19" s="1470"/>
      <c r="G19" s="1470"/>
      <c r="H19" s="1470"/>
      <c r="I19" s="1470"/>
      <c r="J19" s="1470"/>
    </row>
    <row r="20" spans="4:10" x14ac:dyDescent="0.2">
      <c r="D20" s="1470"/>
      <c r="E20" s="1470"/>
      <c r="F20" s="1470"/>
      <c r="G20" s="1470"/>
      <c r="H20" s="1470"/>
      <c r="I20" s="1470"/>
      <c r="J20" s="1470"/>
    </row>
    <row r="21" spans="4:10" x14ac:dyDescent="0.2">
      <c r="D21" s="1470"/>
      <c r="E21" s="1470"/>
      <c r="F21" s="1470"/>
      <c r="G21" s="1470"/>
      <c r="H21" s="1470"/>
      <c r="I21" s="1470"/>
      <c r="J21" s="1470"/>
    </row>
    <row r="22" spans="4:10" x14ac:dyDescent="0.2">
      <c r="D22" s="1470"/>
      <c r="E22" s="1470"/>
      <c r="F22" s="1470"/>
      <c r="G22" s="1470"/>
      <c r="H22" s="1470"/>
      <c r="I22" s="1470"/>
      <c r="J22" s="1470"/>
    </row>
    <row r="23" spans="4:10" x14ac:dyDescent="0.2">
      <c r="D23" s="1470"/>
      <c r="E23" s="1470"/>
      <c r="F23" s="1470"/>
      <c r="G23" s="1470"/>
      <c r="H23" s="1470"/>
      <c r="I23" s="1470"/>
      <c r="J23" s="1470"/>
    </row>
  </sheetData>
  <mergeCells count="1">
    <mergeCell ref="D14:J23"/>
  </mergeCells>
  <pageMargins left="0.70866141732283472" right="0.70866141732283472" top="0.74803149606299213" bottom="0.74803149606299213" header="0.31496062992125984" footer="0.31496062992125984"/>
  <pageSetup paperSize="9"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39997558519241921"/>
    <pageSetUpPr fitToPage="1"/>
  </sheetPr>
  <dimension ref="A1:T32"/>
  <sheetViews>
    <sheetView view="pageBreakPreview" topLeftCell="A10" zoomScaleSheetLayoutView="100" workbookViewId="0">
      <selection activeCell="B12" sqref="B12:B23"/>
    </sheetView>
  </sheetViews>
  <sheetFormatPr defaultRowHeight="14.25" x14ac:dyDescent="0.2"/>
  <cols>
    <col min="1" max="1" width="4.7109375" style="38" customWidth="1"/>
    <col min="2" max="2" width="14.7109375" style="38" customWidth="1"/>
    <col min="3" max="3" width="11.7109375" style="38" customWidth="1"/>
    <col min="4" max="4" width="12" style="38" customWidth="1"/>
    <col min="5" max="5" width="12.140625" style="38" customWidth="1"/>
    <col min="6" max="6" width="17.42578125" style="38" customWidth="1"/>
    <col min="7" max="7" width="12.42578125" style="38" customWidth="1"/>
    <col min="8" max="8" width="16" style="38" customWidth="1"/>
    <col min="9" max="9" width="12.7109375" style="38" customWidth="1"/>
    <col min="10" max="10" width="15" style="38" customWidth="1"/>
    <col min="11" max="11" width="13.28515625" style="38" customWidth="1"/>
    <col min="12" max="12" width="11.85546875" style="38" customWidth="1"/>
    <col min="13" max="16384" width="9.140625" style="38"/>
  </cols>
  <sheetData>
    <row r="1" spans="1:20" ht="15" customHeight="1" x14ac:dyDescent="0.25">
      <c r="C1" s="1042"/>
      <c r="D1" s="1042"/>
      <c r="E1" s="1042"/>
      <c r="F1" s="1042"/>
      <c r="G1" s="1042"/>
      <c r="H1" s="1042"/>
      <c r="I1" s="95"/>
      <c r="J1" s="1237" t="s">
        <v>670</v>
      </c>
      <c r="K1" s="1237"/>
    </row>
    <row r="2" spans="1:20" s="42" customFormat="1" ht="19.5" customHeight="1" x14ac:dyDescent="0.2">
      <c r="A2" s="1471" t="s">
        <v>0</v>
      </c>
      <c r="B2" s="1471"/>
      <c r="C2" s="1471"/>
      <c r="D2" s="1471"/>
      <c r="E2" s="1471"/>
      <c r="F2" s="1471"/>
      <c r="G2" s="1471"/>
      <c r="H2" s="1471"/>
      <c r="I2" s="1471"/>
      <c r="J2" s="1471"/>
      <c r="K2" s="1471"/>
      <c r="L2" s="1471"/>
    </row>
    <row r="3" spans="1:20" s="42" customFormat="1" ht="19.5" customHeight="1" x14ac:dyDescent="0.25">
      <c r="A3" s="1131" t="s">
        <v>788</v>
      </c>
      <c r="B3" s="1131"/>
      <c r="C3" s="1131"/>
      <c r="D3" s="1131"/>
      <c r="E3" s="1131"/>
      <c r="F3" s="1131"/>
      <c r="G3" s="1131"/>
      <c r="H3" s="1131"/>
      <c r="I3" s="1131"/>
      <c r="J3" s="1131"/>
      <c r="K3" s="1131"/>
      <c r="L3" s="1131"/>
      <c r="M3" s="69"/>
      <c r="N3" s="69"/>
      <c r="O3" s="69"/>
      <c r="P3" s="69"/>
      <c r="Q3" s="69"/>
    </row>
    <row r="4" spans="1:20" s="42" customFormat="1" ht="14.25" customHeight="1" x14ac:dyDescent="0.2">
      <c r="A4" s="47"/>
      <c r="B4" s="47"/>
      <c r="C4" s="47"/>
      <c r="D4" s="47"/>
      <c r="E4" s="47"/>
      <c r="F4" s="47"/>
      <c r="G4" s="47"/>
      <c r="H4" s="47"/>
      <c r="I4" s="47"/>
      <c r="J4" s="47"/>
      <c r="K4" s="47"/>
    </row>
    <row r="5" spans="1:20" s="42" customFormat="1" ht="18" customHeight="1" x14ac:dyDescent="0.2">
      <c r="A5" s="1354" t="s">
        <v>829</v>
      </c>
      <c r="B5" s="1354"/>
      <c r="C5" s="1354"/>
      <c r="D5" s="1354"/>
      <c r="E5" s="1354"/>
      <c r="F5" s="1354"/>
      <c r="G5" s="1354"/>
      <c r="H5" s="1354"/>
      <c r="I5" s="1354"/>
      <c r="J5" s="1354"/>
      <c r="K5" s="1354"/>
      <c r="L5" s="1354"/>
    </row>
    <row r="6" spans="1:20" ht="15.75" x14ac:dyDescent="0.25">
      <c r="A6" s="1240" t="s">
        <v>456</v>
      </c>
      <c r="B6" s="1240"/>
      <c r="C6" s="1240"/>
      <c r="D6" s="69"/>
      <c r="E6" s="69"/>
      <c r="F6" s="69"/>
      <c r="G6" s="69"/>
      <c r="H6" s="69"/>
      <c r="I6" s="69"/>
      <c r="J6" s="69"/>
      <c r="K6" s="69"/>
    </row>
    <row r="7" spans="1:20" ht="9" customHeight="1" x14ac:dyDescent="0.25">
      <c r="A7" s="37"/>
      <c r="B7" s="37"/>
      <c r="C7" s="37"/>
      <c r="D7" s="37"/>
      <c r="E7" s="37"/>
      <c r="F7" s="37"/>
      <c r="G7" s="37"/>
      <c r="H7" s="37"/>
      <c r="I7" s="37"/>
      <c r="J7" s="37"/>
      <c r="K7" s="37"/>
    </row>
    <row r="8" spans="1:20" ht="29.25" customHeight="1" x14ac:dyDescent="0.2">
      <c r="A8" s="1028" t="s">
        <v>74</v>
      </c>
      <c r="B8" s="1028" t="s">
        <v>75</v>
      </c>
      <c r="C8" s="1028" t="s">
        <v>76</v>
      </c>
      <c r="D8" s="1028" t="s">
        <v>170</v>
      </c>
      <c r="E8" s="1028"/>
      <c r="F8" s="1028"/>
      <c r="G8" s="1028"/>
      <c r="H8" s="1028"/>
      <c r="I8" s="1025" t="s">
        <v>262</v>
      </c>
      <c r="J8" s="1028" t="s">
        <v>77</v>
      </c>
      <c r="K8" s="1028" t="s">
        <v>263</v>
      </c>
      <c r="L8" s="1030" t="s">
        <v>78</v>
      </c>
      <c r="S8" s="40"/>
      <c r="T8" s="40"/>
    </row>
    <row r="9" spans="1:20" ht="33.75" customHeight="1" x14ac:dyDescent="0.2">
      <c r="A9" s="1028"/>
      <c r="B9" s="1028"/>
      <c r="C9" s="1028"/>
      <c r="D9" s="1028" t="s">
        <v>79</v>
      </c>
      <c r="E9" s="1028" t="s">
        <v>80</v>
      </c>
      <c r="F9" s="1028"/>
      <c r="G9" s="1028"/>
      <c r="H9" s="192" t="s">
        <v>81</v>
      </c>
      <c r="I9" s="1472"/>
      <c r="J9" s="1028"/>
      <c r="K9" s="1028"/>
      <c r="L9" s="1030"/>
    </row>
    <row r="10" spans="1:20" ht="30" x14ac:dyDescent="0.2">
      <c r="A10" s="1028"/>
      <c r="B10" s="1028"/>
      <c r="C10" s="1028"/>
      <c r="D10" s="1028"/>
      <c r="E10" s="192" t="s">
        <v>82</v>
      </c>
      <c r="F10" s="192" t="s">
        <v>83</v>
      </c>
      <c r="G10" s="192" t="s">
        <v>18</v>
      </c>
      <c r="H10" s="192"/>
      <c r="I10" s="1026"/>
      <c r="J10" s="1028"/>
      <c r="K10" s="1028"/>
      <c r="L10" s="1030"/>
    </row>
    <row r="11" spans="1:20" s="89" customFormat="1" ht="17.100000000000001" customHeight="1" x14ac:dyDescent="0.2">
      <c r="A11" s="248">
        <v>1</v>
      </c>
      <c r="B11" s="248">
        <v>2</v>
      </c>
      <c r="C11" s="248">
        <v>3</v>
      </c>
      <c r="D11" s="248">
        <v>4</v>
      </c>
      <c r="E11" s="248">
        <v>5</v>
      </c>
      <c r="F11" s="248">
        <v>6</v>
      </c>
      <c r="G11" s="248">
        <v>7</v>
      </c>
      <c r="H11" s="248">
        <v>8</v>
      </c>
      <c r="I11" s="248">
        <v>9</v>
      </c>
      <c r="J11" s="248">
        <v>10</v>
      </c>
      <c r="K11" s="248">
        <v>11</v>
      </c>
      <c r="L11" s="248">
        <v>12</v>
      </c>
    </row>
    <row r="12" spans="1:20" ht="24.95" customHeight="1" x14ac:dyDescent="0.2">
      <c r="A12" s="249">
        <v>1</v>
      </c>
      <c r="B12" s="341" t="s">
        <v>1087</v>
      </c>
      <c r="C12" s="332">
        <v>30</v>
      </c>
      <c r="D12" s="342">
        <v>0</v>
      </c>
      <c r="E12" s="342">
        <v>4</v>
      </c>
      <c r="F12" s="342">
        <v>4</v>
      </c>
      <c r="G12" s="199">
        <f>E12+F12</f>
        <v>8</v>
      </c>
      <c r="H12" s="199">
        <f>D12+G12</f>
        <v>8</v>
      </c>
      <c r="I12" s="199">
        <f>C12-H12</f>
        <v>22</v>
      </c>
      <c r="J12" s="199">
        <f>C12-H12</f>
        <v>22</v>
      </c>
      <c r="K12" s="199">
        <v>0</v>
      </c>
      <c r="L12" s="199"/>
    </row>
    <row r="13" spans="1:20" ht="24.95" customHeight="1" x14ac:dyDescent="0.2">
      <c r="A13" s="249">
        <v>2</v>
      </c>
      <c r="B13" s="341" t="s">
        <v>1088</v>
      </c>
      <c r="C13" s="332">
        <v>31</v>
      </c>
      <c r="D13" s="342">
        <v>5</v>
      </c>
      <c r="E13" s="342">
        <v>4</v>
      </c>
      <c r="F13" s="342">
        <v>1</v>
      </c>
      <c r="G13" s="199">
        <f t="shared" ref="G13:G23" si="0">E13+F13</f>
        <v>5</v>
      </c>
      <c r="H13" s="199">
        <f t="shared" ref="H13:H23" si="1">D13+G13</f>
        <v>10</v>
      </c>
      <c r="I13" s="199">
        <f t="shared" ref="I13:I23" si="2">C13-H13</f>
        <v>21</v>
      </c>
      <c r="J13" s="199">
        <f t="shared" ref="J13:J23" si="3">C13-H13</f>
        <v>21</v>
      </c>
      <c r="K13" s="199">
        <v>0</v>
      </c>
      <c r="L13" s="199"/>
    </row>
    <row r="14" spans="1:20" ht="24.95" customHeight="1" x14ac:dyDescent="0.2">
      <c r="A14" s="249">
        <v>3</v>
      </c>
      <c r="B14" s="341" t="s">
        <v>1089</v>
      </c>
      <c r="C14" s="332">
        <v>30</v>
      </c>
      <c r="D14" s="342">
        <v>30</v>
      </c>
      <c r="E14" s="342">
        <v>0</v>
      </c>
      <c r="F14" s="342">
        <v>0</v>
      </c>
      <c r="G14" s="199">
        <f t="shared" si="0"/>
        <v>0</v>
      </c>
      <c r="H14" s="199">
        <f t="shared" si="1"/>
        <v>30</v>
      </c>
      <c r="I14" s="199">
        <f t="shared" si="2"/>
        <v>0</v>
      </c>
      <c r="J14" s="199">
        <f t="shared" si="3"/>
        <v>0</v>
      </c>
      <c r="K14" s="199">
        <v>0</v>
      </c>
      <c r="L14" s="199"/>
    </row>
    <row r="15" spans="1:20" ht="24.95" customHeight="1" x14ac:dyDescent="0.2">
      <c r="A15" s="249">
        <v>4</v>
      </c>
      <c r="B15" s="341" t="s">
        <v>1090</v>
      </c>
      <c r="C15" s="332">
        <v>31</v>
      </c>
      <c r="D15" s="342">
        <v>0</v>
      </c>
      <c r="E15" s="342">
        <v>4</v>
      </c>
      <c r="F15" s="342">
        <v>0</v>
      </c>
      <c r="G15" s="199">
        <f t="shared" si="0"/>
        <v>4</v>
      </c>
      <c r="H15" s="199">
        <f t="shared" si="1"/>
        <v>4</v>
      </c>
      <c r="I15" s="199">
        <f t="shared" si="2"/>
        <v>27</v>
      </c>
      <c r="J15" s="199">
        <f t="shared" si="3"/>
        <v>27</v>
      </c>
      <c r="K15" s="199">
        <v>0</v>
      </c>
      <c r="L15" s="199"/>
    </row>
    <row r="16" spans="1:20" ht="24.95" customHeight="1" x14ac:dyDescent="0.2">
      <c r="A16" s="249">
        <v>5</v>
      </c>
      <c r="B16" s="341" t="s">
        <v>1091</v>
      </c>
      <c r="C16" s="332">
        <v>31</v>
      </c>
      <c r="D16" s="342">
        <v>0</v>
      </c>
      <c r="E16" s="342">
        <v>4</v>
      </c>
      <c r="F16" s="342">
        <v>3</v>
      </c>
      <c r="G16" s="199">
        <f t="shared" si="0"/>
        <v>7</v>
      </c>
      <c r="H16" s="199">
        <f t="shared" si="1"/>
        <v>7</v>
      </c>
      <c r="I16" s="199">
        <f t="shared" si="2"/>
        <v>24</v>
      </c>
      <c r="J16" s="199">
        <f t="shared" si="3"/>
        <v>24</v>
      </c>
      <c r="K16" s="199">
        <v>0</v>
      </c>
      <c r="L16" s="199"/>
    </row>
    <row r="17" spans="1:12" s="43" customFormat="1" ht="24.95" customHeight="1" x14ac:dyDescent="0.2">
      <c r="A17" s="249">
        <v>6</v>
      </c>
      <c r="B17" s="341" t="s">
        <v>1092</v>
      </c>
      <c r="C17" s="343">
        <v>30</v>
      </c>
      <c r="D17" s="342">
        <v>0</v>
      </c>
      <c r="E17" s="342">
        <v>5</v>
      </c>
      <c r="F17" s="342">
        <v>3</v>
      </c>
      <c r="G17" s="199">
        <f t="shared" si="0"/>
        <v>8</v>
      </c>
      <c r="H17" s="199">
        <f t="shared" si="1"/>
        <v>8</v>
      </c>
      <c r="I17" s="199">
        <f t="shared" si="2"/>
        <v>22</v>
      </c>
      <c r="J17" s="199">
        <f t="shared" si="3"/>
        <v>22</v>
      </c>
      <c r="K17" s="199">
        <v>0</v>
      </c>
      <c r="L17" s="249"/>
    </row>
    <row r="18" spans="1:12" s="43" customFormat="1" ht="24.95" customHeight="1" x14ac:dyDescent="0.2">
      <c r="A18" s="249">
        <v>7</v>
      </c>
      <c r="B18" s="341" t="s">
        <v>1093</v>
      </c>
      <c r="C18" s="343">
        <v>31</v>
      </c>
      <c r="D18" s="342">
        <v>0</v>
      </c>
      <c r="E18" s="342">
        <v>4</v>
      </c>
      <c r="F18" s="342">
        <v>9</v>
      </c>
      <c r="G18" s="199">
        <f t="shared" si="0"/>
        <v>13</v>
      </c>
      <c r="H18" s="199">
        <f t="shared" si="1"/>
        <v>13</v>
      </c>
      <c r="I18" s="199">
        <f t="shared" si="2"/>
        <v>18</v>
      </c>
      <c r="J18" s="199">
        <f t="shared" si="3"/>
        <v>18</v>
      </c>
      <c r="K18" s="199">
        <v>0</v>
      </c>
      <c r="L18" s="249"/>
    </row>
    <row r="19" spans="1:12" s="43" customFormat="1" ht="24.95" customHeight="1" x14ac:dyDescent="0.2">
      <c r="A19" s="249">
        <v>8</v>
      </c>
      <c r="B19" s="341" t="s">
        <v>1094</v>
      </c>
      <c r="C19" s="343">
        <v>30</v>
      </c>
      <c r="D19" s="342">
        <v>0</v>
      </c>
      <c r="E19" s="342">
        <v>4</v>
      </c>
      <c r="F19" s="342">
        <v>3</v>
      </c>
      <c r="G19" s="199">
        <f t="shared" si="0"/>
        <v>7</v>
      </c>
      <c r="H19" s="199">
        <f t="shared" si="1"/>
        <v>7</v>
      </c>
      <c r="I19" s="199">
        <f t="shared" si="2"/>
        <v>23</v>
      </c>
      <c r="J19" s="199">
        <f t="shared" si="3"/>
        <v>23</v>
      </c>
      <c r="K19" s="199">
        <v>0</v>
      </c>
      <c r="L19" s="249"/>
    </row>
    <row r="20" spans="1:12" s="43" customFormat="1" ht="24.95" customHeight="1" x14ac:dyDescent="0.2">
      <c r="A20" s="249">
        <v>9</v>
      </c>
      <c r="B20" s="341" t="s">
        <v>1095</v>
      </c>
      <c r="C20" s="343">
        <v>31</v>
      </c>
      <c r="D20" s="342">
        <v>0</v>
      </c>
      <c r="E20" s="342">
        <v>5</v>
      </c>
      <c r="F20" s="342">
        <v>2</v>
      </c>
      <c r="G20" s="199">
        <f t="shared" si="0"/>
        <v>7</v>
      </c>
      <c r="H20" s="199">
        <f t="shared" si="1"/>
        <v>7</v>
      </c>
      <c r="I20" s="199">
        <f t="shared" si="2"/>
        <v>24</v>
      </c>
      <c r="J20" s="199">
        <f t="shared" si="3"/>
        <v>24</v>
      </c>
      <c r="K20" s="199">
        <v>0</v>
      </c>
      <c r="L20" s="249"/>
    </row>
    <row r="21" spans="1:12" s="43" customFormat="1" ht="24.95" customHeight="1" x14ac:dyDescent="0.2">
      <c r="A21" s="249">
        <v>10</v>
      </c>
      <c r="B21" s="341" t="s">
        <v>1096</v>
      </c>
      <c r="C21" s="343">
        <v>31</v>
      </c>
      <c r="D21" s="342">
        <v>13</v>
      </c>
      <c r="E21" s="342">
        <v>2</v>
      </c>
      <c r="F21" s="342">
        <v>1</v>
      </c>
      <c r="G21" s="199">
        <f t="shared" si="0"/>
        <v>3</v>
      </c>
      <c r="H21" s="199">
        <f t="shared" si="1"/>
        <v>16</v>
      </c>
      <c r="I21" s="199">
        <f t="shared" si="2"/>
        <v>15</v>
      </c>
      <c r="J21" s="199">
        <f t="shared" si="3"/>
        <v>15</v>
      </c>
      <c r="K21" s="199">
        <v>0</v>
      </c>
      <c r="L21" s="249"/>
    </row>
    <row r="22" spans="1:12" s="43" customFormat="1" ht="24.95" customHeight="1" x14ac:dyDescent="0.2">
      <c r="A22" s="249">
        <v>11</v>
      </c>
      <c r="B22" s="341" t="s">
        <v>1097</v>
      </c>
      <c r="C22" s="343">
        <v>29</v>
      </c>
      <c r="D22" s="342">
        <v>0</v>
      </c>
      <c r="E22" s="342">
        <v>4</v>
      </c>
      <c r="F22" s="342">
        <v>2</v>
      </c>
      <c r="G22" s="199">
        <f t="shared" si="0"/>
        <v>6</v>
      </c>
      <c r="H22" s="199">
        <f t="shared" si="1"/>
        <v>6</v>
      </c>
      <c r="I22" s="199">
        <f t="shared" si="2"/>
        <v>23</v>
      </c>
      <c r="J22" s="199">
        <f t="shared" si="3"/>
        <v>23</v>
      </c>
      <c r="K22" s="199">
        <v>0</v>
      </c>
      <c r="L22" s="249"/>
    </row>
    <row r="23" spans="1:12" s="43" customFormat="1" ht="24.95" customHeight="1" x14ac:dyDescent="0.2">
      <c r="A23" s="249">
        <v>12</v>
      </c>
      <c r="B23" s="341" t="s">
        <v>1098</v>
      </c>
      <c r="C23" s="343">
        <v>31</v>
      </c>
      <c r="D23" s="342">
        <v>0</v>
      </c>
      <c r="E23" s="342">
        <v>5</v>
      </c>
      <c r="F23" s="342">
        <v>4</v>
      </c>
      <c r="G23" s="199">
        <f t="shared" si="0"/>
        <v>9</v>
      </c>
      <c r="H23" s="199">
        <f t="shared" si="1"/>
        <v>9</v>
      </c>
      <c r="I23" s="199">
        <f t="shared" si="2"/>
        <v>22</v>
      </c>
      <c r="J23" s="199">
        <f t="shared" si="3"/>
        <v>22</v>
      </c>
      <c r="K23" s="199">
        <v>0</v>
      </c>
      <c r="L23" s="249"/>
    </row>
    <row r="24" spans="1:12" s="140" customFormat="1" ht="24.95" customHeight="1" x14ac:dyDescent="0.2">
      <c r="A24" s="192"/>
      <c r="B24" s="250" t="s">
        <v>18</v>
      </c>
      <c r="C24" s="192">
        <f>SUM(C12:C23)</f>
        <v>366</v>
      </c>
      <c r="D24" s="192">
        <f>SUM(D12:D23)</f>
        <v>48</v>
      </c>
      <c r="E24" s="192">
        <f t="shared" ref="E24:K24" si="4">SUM(E12:E23)</f>
        <v>45</v>
      </c>
      <c r="F24" s="192">
        <f t="shared" si="4"/>
        <v>32</v>
      </c>
      <c r="G24" s="192">
        <f t="shared" si="4"/>
        <v>77</v>
      </c>
      <c r="H24" s="192">
        <f t="shared" si="4"/>
        <v>125</v>
      </c>
      <c r="I24" s="192">
        <f t="shared" si="4"/>
        <v>241</v>
      </c>
      <c r="J24" s="192">
        <f t="shared" si="4"/>
        <v>241</v>
      </c>
      <c r="K24" s="192">
        <f t="shared" si="4"/>
        <v>0</v>
      </c>
      <c r="L24" s="192"/>
    </row>
    <row r="25" spans="1:12" s="43" customFormat="1" ht="11.25" customHeight="1" x14ac:dyDescent="0.2">
      <c r="A25" s="44"/>
      <c r="B25" s="45"/>
      <c r="C25" s="46"/>
      <c r="D25" s="44"/>
      <c r="E25" s="44"/>
      <c r="F25" s="44"/>
      <c r="G25" s="44"/>
      <c r="H25" s="44"/>
      <c r="I25" s="44"/>
      <c r="J25" s="44"/>
      <c r="K25" s="44"/>
    </row>
    <row r="26" spans="1:12" ht="15" x14ac:dyDescent="0.25">
      <c r="A26" s="39" t="s">
        <v>111</v>
      </c>
      <c r="B26" s="39"/>
      <c r="C26" s="39"/>
      <c r="D26" s="39"/>
      <c r="E26" s="39"/>
      <c r="F26" s="39"/>
      <c r="G26" s="39"/>
      <c r="H26" s="39"/>
      <c r="I26" s="39"/>
      <c r="J26" s="39"/>
    </row>
    <row r="27" spans="1:12" ht="15" x14ac:dyDescent="0.25">
      <c r="A27" s="39"/>
      <c r="B27" s="39"/>
      <c r="C27" s="39"/>
      <c r="D27" s="39"/>
      <c r="E27" s="39"/>
      <c r="F27" s="39"/>
      <c r="G27" s="39"/>
      <c r="H27" s="39"/>
      <c r="I27" s="39"/>
      <c r="J27" s="39"/>
    </row>
    <row r="28" spans="1:12" ht="15" x14ac:dyDescent="0.25">
      <c r="A28" s="39"/>
      <c r="B28" s="39"/>
      <c r="C28" s="39"/>
      <c r="D28" s="39"/>
      <c r="E28" s="39"/>
      <c r="F28" s="39"/>
      <c r="G28" s="39"/>
      <c r="H28" s="39"/>
      <c r="I28" s="39"/>
      <c r="J28" s="39"/>
    </row>
    <row r="29" spans="1:12" x14ac:dyDescent="0.2">
      <c r="A29" s="11" t="s">
        <v>610</v>
      </c>
      <c r="B29" s="11"/>
      <c r="C29" s="11"/>
      <c r="D29" s="11"/>
      <c r="E29" s="11"/>
      <c r="F29" s="11"/>
      <c r="G29" s="11"/>
      <c r="H29" s="11"/>
      <c r="I29" s="11"/>
      <c r="K29" s="1073" t="s">
        <v>12</v>
      </c>
      <c r="L29" s="1073"/>
    </row>
    <row r="30" spans="1:12" x14ac:dyDescent="0.2">
      <c r="A30" s="1161" t="s">
        <v>13</v>
      </c>
      <c r="B30" s="1161"/>
      <c r="C30" s="1161"/>
      <c r="D30" s="1161"/>
      <c r="E30" s="1161"/>
      <c r="F30" s="1161"/>
      <c r="G30" s="1161"/>
      <c r="H30" s="1161"/>
      <c r="I30" s="1161"/>
      <c r="J30" s="1161"/>
      <c r="K30" s="1161"/>
      <c r="L30" s="1161"/>
    </row>
    <row r="31" spans="1:12" x14ac:dyDescent="0.2">
      <c r="A31" s="1161" t="s">
        <v>615</v>
      </c>
      <c r="B31" s="1161"/>
      <c r="C31" s="1161"/>
      <c r="D31" s="1161"/>
      <c r="E31" s="1161"/>
      <c r="F31" s="1161"/>
      <c r="G31" s="1161"/>
      <c r="H31" s="1161"/>
      <c r="I31" s="1161"/>
      <c r="J31" s="1161"/>
      <c r="K31" s="1161"/>
      <c r="L31" s="1161"/>
    </row>
    <row r="32" spans="1:12" x14ac:dyDescent="0.2">
      <c r="A32" s="11"/>
      <c r="B32" s="11"/>
      <c r="C32" s="11"/>
      <c r="D32" s="11"/>
      <c r="E32" s="11"/>
      <c r="F32" s="11"/>
      <c r="G32" s="11"/>
      <c r="H32" s="12"/>
      <c r="J32" s="1" t="s">
        <v>84</v>
      </c>
      <c r="K32" s="11"/>
    </row>
  </sheetData>
  <mergeCells count="19">
    <mergeCell ref="K29:L29"/>
    <mergeCell ref="A30:L30"/>
    <mergeCell ref="A31:L31"/>
    <mergeCell ref="A8:A10"/>
    <mergeCell ref="B8:B10"/>
    <mergeCell ref="C8:C10"/>
    <mergeCell ref="D8:H8"/>
    <mergeCell ref="J8:J10"/>
    <mergeCell ref="D9:D10"/>
    <mergeCell ref="E9:G9"/>
    <mergeCell ref="I8:I10"/>
    <mergeCell ref="C1:H1"/>
    <mergeCell ref="J1:K1"/>
    <mergeCell ref="A6:C6"/>
    <mergeCell ref="L8:L10"/>
    <mergeCell ref="A2:L2"/>
    <mergeCell ref="A3:L3"/>
    <mergeCell ref="A5:L5"/>
    <mergeCell ref="K8:K10"/>
  </mergeCells>
  <phoneticPr fontId="0" type="noConversion"/>
  <printOptions horizontalCentered="1"/>
  <pageMargins left="0.46" right="0.39" top="0.3" bottom="0" header="0.25" footer="0.17"/>
  <pageSetup paperSize="9" scale="88"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39997558519241921"/>
    <pageSetUpPr fitToPage="1"/>
  </sheetPr>
  <dimension ref="A1:S32"/>
  <sheetViews>
    <sheetView view="pageBreakPreview" topLeftCell="A10" zoomScaleSheetLayoutView="100" workbookViewId="0">
      <selection activeCell="B10" sqref="B10:B21"/>
    </sheetView>
  </sheetViews>
  <sheetFormatPr defaultRowHeight="14.25" x14ac:dyDescent="0.2"/>
  <cols>
    <col min="1" max="1" width="6.7109375" style="38" customWidth="1"/>
    <col min="2" max="2" width="14.7109375" style="38" customWidth="1"/>
    <col min="3" max="3" width="11.7109375" style="38" customWidth="1"/>
    <col min="4" max="4" width="12" style="38" customWidth="1"/>
    <col min="5" max="5" width="13.28515625" style="38" customWidth="1"/>
    <col min="6" max="6" width="18.85546875" style="38" customWidth="1"/>
    <col min="7" max="7" width="13.85546875" style="38" customWidth="1"/>
    <col min="8" max="8" width="14.7109375" style="38" customWidth="1"/>
    <col min="9" max="9" width="15.28515625" style="38" customWidth="1"/>
    <col min="10" max="10" width="15.7109375" style="38" customWidth="1"/>
    <col min="11" max="11" width="16.28515625" style="38" customWidth="1"/>
    <col min="12" max="16384" width="9.140625" style="38"/>
  </cols>
  <sheetData>
    <row r="1" spans="1:19" ht="15" customHeight="1" x14ac:dyDescent="0.25">
      <c r="C1" s="1042"/>
      <c r="D1" s="1042"/>
      <c r="E1" s="1042"/>
      <c r="F1" s="1042"/>
      <c r="G1" s="1042"/>
      <c r="H1" s="1042"/>
      <c r="I1" s="95"/>
      <c r="K1" s="478" t="s">
        <v>671</v>
      </c>
    </row>
    <row r="2" spans="1:19" s="42" customFormat="1" ht="13.5" customHeight="1" x14ac:dyDescent="0.2">
      <c r="A2" s="1471" t="s">
        <v>0</v>
      </c>
      <c r="B2" s="1471"/>
      <c r="C2" s="1471"/>
      <c r="D2" s="1471"/>
      <c r="E2" s="1471"/>
      <c r="F2" s="1471"/>
      <c r="G2" s="1471"/>
      <c r="H2" s="1471"/>
      <c r="I2" s="1471"/>
      <c r="J2" s="1471"/>
      <c r="K2" s="1471"/>
    </row>
    <row r="3" spans="1:19" s="42" customFormat="1" ht="14.25" customHeight="1" x14ac:dyDescent="0.25">
      <c r="A3" s="1131" t="s">
        <v>788</v>
      </c>
      <c r="B3" s="1131"/>
      <c r="C3" s="1131"/>
      <c r="D3" s="1131"/>
      <c r="E3" s="1131"/>
      <c r="F3" s="1131"/>
      <c r="G3" s="1131"/>
      <c r="H3" s="1131"/>
      <c r="I3" s="1131"/>
      <c r="J3" s="1131"/>
      <c r="K3" s="1131"/>
      <c r="L3" s="69"/>
      <c r="M3" s="69"/>
      <c r="N3" s="69"/>
      <c r="O3" s="69"/>
      <c r="P3" s="69"/>
      <c r="Q3" s="69"/>
    </row>
    <row r="4" spans="1:19" s="42" customFormat="1" ht="18" customHeight="1" x14ac:dyDescent="0.2">
      <c r="A4" s="1354" t="s">
        <v>828</v>
      </c>
      <c r="B4" s="1354"/>
      <c r="C4" s="1354"/>
      <c r="D4" s="1354"/>
      <c r="E4" s="1354"/>
      <c r="F4" s="1354"/>
      <c r="G4" s="1354"/>
      <c r="H4" s="1354"/>
      <c r="I4" s="1354"/>
      <c r="J4" s="1354"/>
      <c r="K4" s="1354"/>
    </row>
    <row r="5" spans="1:19" ht="15.75" x14ac:dyDescent="0.25">
      <c r="A5" s="1075" t="s">
        <v>456</v>
      </c>
      <c r="B5" s="1075"/>
      <c r="C5" s="1075"/>
      <c r="D5" s="82"/>
      <c r="E5" s="82"/>
      <c r="F5" s="82"/>
      <c r="G5" s="82"/>
      <c r="H5" s="82"/>
      <c r="I5" s="93"/>
      <c r="J5" s="93"/>
    </row>
    <row r="6" spans="1:19" ht="29.25" customHeight="1" x14ac:dyDescent="0.2">
      <c r="A6" s="1028" t="s">
        <v>74</v>
      </c>
      <c r="B6" s="1028" t="s">
        <v>75</v>
      </c>
      <c r="C6" s="1028" t="s">
        <v>76</v>
      </c>
      <c r="D6" s="1028" t="s">
        <v>171</v>
      </c>
      <c r="E6" s="1028"/>
      <c r="F6" s="1028"/>
      <c r="G6" s="1028"/>
      <c r="H6" s="1028"/>
      <c r="I6" s="1025" t="s">
        <v>262</v>
      </c>
      <c r="J6" s="1028" t="s">
        <v>77</v>
      </c>
      <c r="K6" s="1028" t="s">
        <v>246</v>
      </c>
    </row>
    <row r="7" spans="1:19" ht="34.15" customHeight="1" x14ac:dyDescent="0.2">
      <c r="A7" s="1028"/>
      <c r="B7" s="1028"/>
      <c r="C7" s="1028"/>
      <c r="D7" s="1028" t="s">
        <v>79</v>
      </c>
      <c r="E7" s="1028" t="s">
        <v>80</v>
      </c>
      <c r="F7" s="1028"/>
      <c r="G7" s="1028"/>
      <c r="H7" s="1025" t="s">
        <v>81</v>
      </c>
      <c r="I7" s="1472"/>
      <c r="J7" s="1028"/>
      <c r="K7" s="1028"/>
      <c r="R7" s="40"/>
      <c r="S7" s="40"/>
    </row>
    <row r="8" spans="1:19" ht="33.75" customHeight="1" x14ac:dyDescent="0.2">
      <c r="A8" s="1028"/>
      <c r="B8" s="1028"/>
      <c r="C8" s="1028"/>
      <c r="D8" s="1028"/>
      <c r="E8" s="192" t="s">
        <v>82</v>
      </c>
      <c r="F8" s="192" t="s">
        <v>83</v>
      </c>
      <c r="G8" s="192" t="s">
        <v>18</v>
      </c>
      <c r="H8" s="1026"/>
      <c r="I8" s="1026"/>
      <c r="J8" s="1028"/>
      <c r="K8" s="1028"/>
    </row>
    <row r="9" spans="1:19" s="43" customFormat="1" ht="17.100000000000001" customHeight="1" x14ac:dyDescent="0.2">
      <c r="A9" s="192">
        <v>1</v>
      </c>
      <c r="B9" s="192">
        <v>2</v>
      </c>
      <c r="C9" s="192">
        <v>3</v>
      </c>
      <c r="D9" s="192">
        <v>4</v>
      </c>
      <c r="E9" s="192">
        <v>5</v>
      </c>
      <c r="F9" s="192">
        <v>6</v>
      </c>
      <c r="G9" s="192">
        <v>7</v>
      </c>
      <c r="H9" s="192">
        <v>8</v>
      </c>
      <c r="I9" s="192">
        <v>9</v>
      </c>
      <c r="J9" s="192">
        <v>10</v>
      </c>
      <c r="K9" s="192">
        <v>11</v>
      </c>
    </row>
    <row r="10" spans="1:19" ht="24.95" customHeight="1" x14ac:dyDescent="0.2">
      <c r="A10" s="249">
        <v>1</v>
      </c>
      <c r="B10" s="341" t="s">
        <v>1087</v>
      </c>
      <c r="C10" s="332">
        <v>30</v>
      </c>
      <c r="D10" s="342">
        <v>0</v>
      </c>
      <c r="E10" s="342">
        <v>4</v>
      </c>
      <c r="F10" s="342">
        <v>4</v>
      </c>
      <c r="G10" s="677">
        <f>E10+F10</f>
        <v>8</v>
      </c>
      <c r="H10" s="677">
        <f>D10+G10</f>
        <v>8</v>
      </c>
      <c r="I10" s="677">
        <f>C10-H10</f>
        <v>22</v>
      </c>
      <c r="J10" s="677">
        <f>C10-H10</f>
        <v>22</v>
      </c>
      <c r="K10" s="677"/>
    </row>
    <row r="11" spans="1:19" ht="24.95" customHeight="1" x14ac:dyDescent="0.2">
      <c r="A11" s="249">
        <v>2</v>
      </c>
      <c r="B11" s="341" t="s">
        <v>1088</v>
      </c>
      <c r="C11" s="332">
        <v>31</v>
      </c>
      <c r="D11" s="342">
        <v>5</v>
      </c>
      <c r="E11" s="342">
        <v>4</v>
      </c>
      <c r="F11" s="342">
        <v>1</v>
      </c>
      <c r="G11" s="677">
        <f t="shared" ref="G11:G21" si="0">E11+F11</f>
        <v>5</v>
      </c>
      <c r="H11" s="677">
        <f t="shared" ref="H11:H21" si="1">D11+G11</f>
        <v>10</v>
      </c>
      <c r="I11" s="677">
        <f t="shared" ref="I11:I21" si="2">C11-H11</f>
        <v>21</v>
      </c>
      <c r="J11" s="677">
        <f t="shared" ref="J11:J21" si="3">C11-H11</f>
        <v>21</v>
      </c>
      <c r="K11" s="677"/>
    </row>
    <row r="12" spans="1:19" ht="24.95" customHeight="1" x14ac:dyDescent="0.2">
      <c r="A12" s="249">
        <v>3</v>
      </c>
      <c r="B12" s="341" t="s">
        <v>1089</v>
      </c>
      <c r="C12" s="332">
        <v>30</v>
      </c>
      <c r="D12" s="342">
        <v>30</v>
      </c>
      <c r="E12" s="342">
        <v>0</v>
      </c>
      <c r="F12" s="342">
        <v>0</v>
      </c>
      <c r="G12" s="677">
        <f t="shared" si="0"/>
        <v>0</v>
      </c>
      <c r="H12" s="677">
        <f t="shared" si="1"/>
        <v>30</v>
      </c>
      <c r="I12" s="677">
        <f t="shared" si="2"/>
        <v>0</v>
      </c>
      <c r="J12" s="677">
        <f t="shared" si="3"/>
        <v>0</v>
      </c>
      <c r="K12" s="677"/>
    </row>
    <row r="13" spans="1:19" ht="24.95" customHeight="1" x14ac:dyDescent="0.2">
      <c r="A13" s="249">
        <v>4</v>
      </c>
      <c r="B13" s="341" t="s">
        <v>1090</v>
      </c>
      <c r="C13" s="332">
        <v>31</v>
      </c>
      <c r="D13" s="342">
        <v>0</v>
      </c>
      <c r="E13" s="342">
        <v>4</v>
      </c>
      <c r="F13" s="342">
        <v>0</v>
      </c>
      <c r="G13" s="677">
        <f t="shared" si="0"/>
        <v>4</v>
      </c>
      <c r="H13" s="677">
        <f t="shared" si="1"/>
        <v>4</v>
      </c>
      <c r="I13" s="677">
        <f t="shared" si="2"/>
        <v>27</v>
      </c>
      <c r="J13" s="677">
        <f t="shared" si="3"/>
        <v>27</v>
      </c>
      <c r="K13" s="677"/>
    </row>
    <row r="14" spans="1:19" ht="24.95" customHeight="1" x14ac:dyDescent="0.2">
      <c r="A14" s="249">
        <v>5</v>
      </c>
      <c r="B14" s="341" t="s">
        <v>1091</v>
      </c>
      <c r="C14" s="332">
        <v>31</v>
      </c>
      <c r="D14" s="342">
        <v>0</v>
      </c>
      <c r="E14" s="342">
        <v>4</v>
      </c>
      <c r="F14" s="342">
        <v>3</v>
      </c>
      <c r="G14" s="677">
        <f t="shared" si="0"/>
        <v>7</v>
      </c>
      <c r="H14" s="677">
        <f t="shared" si="1"/>
        <v>7</v>
      </c>
      <c r="I14" s="677">
        <f t="shared" si="2"/>
        <v>24</v>
      </c>
      <c r="J14" s="677">
        <f t="shared" si="3"/>
        <v>24</v>
      </c>
      <c r="K14" s="677"/>
    </row>
    <row r="15" spans="1:19" s="43" customFormat="1" ht="24.95" customHeight="1" x14ac:dyDescent="0.2">
      <c r="A15" s="249">
        <v>6</v>
      </c>
      <c r="B15" s="341" t="s">
        <v>1092</v>
      </c>
      <c r="C15" s="343">
        <v>30</v>
      </c>
      <c r="D15" s="342">
        <v>0</v>
      </c>
      <c r="E15" s="342">
        <v>5</v>
      </c>
      <c r="F15" s="342">
        <v>3</v>
      </c>
      <c r="G15" s="677">
        <f t="shared" si="0"/>
        <v>8</v>
      </c>
      <c r="H15" s="677">
        <f t="shared" si="1"/>
        <v>8</v>
      </c>
      <c r="I15" s="677">
        <f t="shared" si="2"/>
        <v>22</v>
      </c>
      <c r="J15" s="677">
        <f t="shared" si="3"/>
        <v>22</v>
      </c>
      <c r="K15" s="677"/>
    </row>
    <row r="16" spans="1:19" s="43" customFormat="1" ht="24.95" customHeight="1" x14ac:dyDescent="0.2">
      <c r="A16" s="249">
        <v>7</v>
      </c>
      <c r="B16" s="341" t="s">
        <v>1093</v>
      </c>
      <c r="C16" s="343">
        <v>31</v>
      </c>
      <c r="D16" s="342">
        <v>0</v>
      </c>
      <c r="E16" s="342">
        <v>4</v>
      </c>
      <c r="F16" s="342">
        <v>9</v>
      </c>
      <c r="G16" s="677">
        <f t="shared" si="0"/>
        <v>13</v>
      </c>
      <c r="H16" s="677">
        <f t="shared" si="1"/>
        <v>13</v>
      </c>
      <c r="I16" s="677">
        <f t="shared" si="2"/>
        <v>18</v>
      </c>
      <c r="J16" s="677">
        <f t="shared" si="3"/>
        <v>18</v>
      </c>
      <c r="K16" s="677"/>
    </row>
    <row r="17" spans="1:11" s="43" customFormat="1" ht="24.95" customHeight="1" x14ac:dyDescent="0.2">
      <c r="A17" s="249">
        <v>8</v>
      </c>
      <c r="B17" s="341" t="s">
        <v>1094</v>
      </c>
      <c r="C17" s="343">
        <v>30</v>
      </c>
      <c r="D17" s="342">
        <v>0</v>
      </c>
      <c r="E17" s="342">
        <v>4</v>
      </c>
      <c r="F17" s="342">
        <v>3</v>
      </c>
      <c r="G17" s="677">
        <f t="shared" si="0"/>
        <v>7</v>
      </c>
      <c r="H17" s="677">
        <f t="shared" si="1"/>
        <v>7</v>
      </c>
      <c r="I17" s="677">
        <f t="shared" si="2"/>
        <v>23</v>
      </c>
      <c r="J17" s="677">
        <f t="shared" si="3"/>
        <v>23</v>
      </c>
      <c r="K17" s="677"/>
    </row>
    <row r="18" spans="1:11" s="43" customFormat="1" ht="24.95" customHeight="1" x14ac:dyDescent="0.2">
      <c r="A18" s="249">
        <v>9</v>
      </c>
      <c r="B18" s="341" t="s">
        <v>1095</v>
      </c>
      <c r="C18" s="343">
        <v>31</v>
      </c>
      <c r="D18" s="342">
        <v>0</v>
      </c>
      <c r="E18" s="342">
        <v>5</v>
      </c>
      <c r="F18" s="342">
        <v>2</v>
      </c>
      <c r="G18" s="677">
        <f t="shared" si="0"/>
        <v>7</v>
      </c>
      <c r="H18" s="677">
        <f t="shared" si="1"/>
        <v>7</v>
      </c>
      <c r="I18" s="677">
        <f t="shared" si="2"/>
        <v>24</v>
      </c>
      <c r="J18" s="677">
        <f t="shared" si="3"/>
        <v>24</v>
      </c>
      <c r="K18" s="677"/>
    </row>
    <row r="19" spans="1:11" s="43" customFormat="1" ht="24.95" customHeight="1" x14ac:dyDescent="0.2">
      <c r="A19" s="249">
        <v>10</v>
      </c>
      <c r="B19" s="341" t="s">
        <v>1096</v>
      </c>
      <c r="C19" s="343">
        <v>31</v>
      </c>
      <c r="D19" s="342">
        <v>13</v>
      </c>
      <c r="E19" s="342">
        <v>2</v>
      </c>
      <c r="F19" s="342">
        <v>1</v>
      </c>
      <c r="G19" s="677">
        <f t="shared" si="0"/>
        <v>3</v>
      </c>
      <c r="H19" s="677">
        <f t="shared" si="1"/>
        <v>16</v>
      </c>
      <c r="I19" s="677">
        <f t="shared" si="2"/>
        <v>15</v>
      </c>
      <c r="J19" s="677">
        <f t="shared" si="3"/>
        <v>15</v>
      </c>
      <c r="K19" s="677"/>
    </row>
    <row r="20" spans="1:11" s="43" customFormat="1" ht="24.95" customHeight="1" x14ac:dyDescent="0.2">
      <c r="A20" s="249">
        <v>11</v>
      </c>
      <c r="B20" s="341" t="s">
        <v>1097</v>
      </c>
      <c r="C20" s="343">
        <v>29</v>
      </c>
      <c r="D20" s="342">
        <v>0</v>
      </c>
      <c r="E20" s="342">
        <v>4</v>
      </c>
      <c r="F20" s="342">
        <v>2</v>
      </c>
      <c r="G20" s="677">
        <f t="shared" si="0"/>
        <v>6</v>
      </c>
      <c r="H20" s="677">
        <f t="shared" si="1"/>
        <v>6</v>
      </c>
      <c r="I20" s="677">
        <f t="shared" si="2"/>
        <v>23</v>
      </c>
      <c r="J20" s="677">
        <f t="shared" si="3"/>
        <v>23</v>
      </c>
      <c r="K20" s="677"/>
    </row>
    <row r="21" spans="1:11" s="43" customFormat="1" ht="24.95" customHeight="1" x14ac:dyDescent="0.2">
      <c r="A21" s="249">
        <v>12</v>
      </c>
      <c r="B21" s="341" t="s">
        <v>1098</v>
      </c>
      <c r="C21" s="343">
        <v>31</v>
      </c>
      <c r="D21" s="342">
        <v>0</v>
      </c>
      <c r="E21" s="342">
        <v>5</v>
      </c>
      <c r="F21" s="342">
        <v>4</v>
      </c>
      <c r="G21" s="677">
        <f t="shared" si="0"/>
        <v>9</v>
      </c>
      <c r="H21" s="677">
        <f t="shared" si="1"/>
        <v>9</v>
      </c>
      <c r="I21" s="677">
        <f t="shared" si="2"/>
        <v>22</v>
      </c>
      <c r="J21" s="677">
        <f t="shared" si="3"/>
        <v>22</v>
      </c>
      <c r="K21" s="677"/>
    </row>
    <row r="22" spans="1:11" s="140" customFormat="1" ht="24.95" customHeight="1" x14ac:dyDescent="0.2">
      <c r="A22" s="192"/>
      <c r="B22" s="250" t="s">
        <v>18</v>
      </c>
      <c r="C22" s="192">
        <f>SUM(C10:C21)</f>
        <v>366</v>
      </c>
      <c r="D22" s="192">
        <f>SUM(D10:D21)</f>
        <v>48</v>
      </c>
      <c r="E22" s="192">
        <f t="shared" ref="E22:J22" si="4">SUM(E10:E21)</f>
        <v>45</v>
      </c>
      <c r="F22" s="192">
        <f t="shared" si="4"/>
        <v>32</v>
      </c>
      <c r="G22" s="192">
        <f t="shared" si="4"/>
        <v>77</v>
      </c>
      <c r="H22" s="192">
        <f t="shared" si="4"/>
        <v>125</v>
      </c>
      <c r="I22" s="192">
        <f t="shared" si="4"/>
        <v>241</v>
      </c>
      <c r="J22" s="192">
        <f t="shared" si="4"/>
        <v>241</v>
      </c>
      <c r="K22" s="192"/>
    </row>
    <row r="23" spans="1:11" s="43" customFormat="1" ht="11.25" customHeight="1" x14ac:dyDescent="0.2">
      <c r="A23" s="44"/>
      <c r="B23" s="477"/>
      <c r="C23" s="46"/>
      <c r="D23" s="44"/>
      <c r="E23" s="44"/>
      <c r="F23" s="44"/>
      <c r="G23" s="44"/>
      <c r="H23" s="44"/>
      <c r="I23" s="44"/>
      <c r="J23" s="44"/>
    </row>
    <row r="24" spans="1:11" ht="12.75" customHeight="1" x14ac:dyDescent="0.2">
      <c r="A24" s="11" t="s">
        <v>111</v>
      </c>
      <c r="B24" s="11"/>
      <c r="C24" s="11"/>
      <c r="D24" s="11"/>
      <c r="E24" s="11"/>
      <c r="F24" s="11"/>
      <c r="G24" s="11"/>
      <c r="H24" s="11"/>
      <c r="I24" s="11"/>
      <c r="J24" s="11"/>
      <c r="K24" s="11"/>
    </row>
    <row r="25" spans="1:11" ht="12.75" customHeight="1" x14ac:dyDescent="0.2">
      <c r="A25" s="11"/>
      <c r="B25" s="11"/>
      <c r="C25" s="11"/>
      <c r="D25" s="11"/>
      <c r="E25" s="11"/>
      <c r="F25" s="11"/>
      <c r="G25" s="11"/>
      <c r="H25" s="11"/>
      <c r="I25" s="11"/>
      <c r="J25" s="11"/>
      <c r="K25" s="11"/>
    </row>
    <row r="26" spans="1:11" ht="12.75" customHeight="1" x14ac:dyDescent="0.2">
      <c r="A26" s="11"/>
      <c r="B26" s="11"/>
      <c r="C26" s="11"/>
      <c r="D26" s="11"/>
      <c r="E26" s="11"/>
      <c r="F26" s="11"/>
      <c r="G26" s="11"/>
      <c r="H26" s="11"/>
      <c r="I26" s="11"/>
      <c r="J26" s="11"/>
      <c r="K26" s="11"/>
    </row>
    <row r="27" spans="1:11" ht="12.75" customHeight="1" x14ac:dyDescent="0.2">
      <c r="A27" s="11"/>
      <c r="B27" s="11"/>
      <c r="C27" s="11"/>
      <c r="D27" s="11" t="s">
        <v>10</v>
      </c>
      <c r="E27" s="11"/>
      <c r="F27" s="11"/>
      <c r="G27" s="11"/>
      <c r="H27" s="11"/>
      <c r="I27" s="11"/>
      <c r="J27" s="11"/>
      <c r="K27" s="11"/>
    </row>
    <row r="28" spans="1:11" ht="12.75" customHeight="1" x14ac:dyDescent="0.2">
      <c r="A28" s="11"/>
      <c r="B28" s="54"/>
      <c r="C28" s="54"/>
      <c r="D28" s="54"/>
      <c r="E28" s="54"/>
      <c r="F28" s="54"/>
      <c r="G28" s="54"/>
      <c r="H28" s="54"/>
      <c r="I28" s="11"/>
      <c r="J28" s="1073" t="s">
        <v>12</v>
      </c>
      <c r="K28" s="1073"/>
    </row>
    <row r="29" spans="1:11" ht="12.75" customHeight="1" x14ac:dyDescent="0.2">
      <c r="A29" s="1161" t="s">
        <v>13</v>
      </c>
      <c r="B29" s="1161"/>
      <c r="C29" s="1161"/>
      <c r="D29" s="1161"/>
      <c r="E29" s="1161"/>
      <c r="F29" s="1161"/>
      <c r="G29" s="1161"/>
      <c r="H29" s="1161"/>
      <c r="I29" s="1161"/>
      <c r="J29" s="1161"/>
      <c r="K29" s="1161"/>
    </row>
    <row r="30" spans="1:11" ht="12.75" customHeight="1" x14ac:dyDescent="0.2">
      <c r="A30" s="1161" t="s">
        <v>613</v>
      </c>
      <c r="B30" s="1161"/>
      <c r="C30" s="1161"/>
      <c r="D30" s="1161"/>
      <c r="E30" s="1161"/>
      <c r="F30" s="1161"/>
      <c r="G30" s="1161"/>
      <c r="H30" s="1161"/>
      <c r="I30" s="1161"/>
      <c r="J30" s="1161"/>
      <c r="K30" s="1161"/>
    </row>
    <row r="31" spans="1:11" ht="12.75" customHeight="1" x14ac:dyDescent="0.2">
      <c r="A31" s="11" t="s">
        <v>610</v>
      </c>
      <c r="B31" s="11"/>
      <c r="C31" s="11"/>
      <c r="D31" s="11"/>
      <c r="E31" s="11"/>
      <c r="F31" s="11"/>
      <c r="G31" s="11"/>
      <c r="H31" s="11"/>
      <c r="I31" s="24"/>
      <c r="J31" s="24" t="s">
        <v>23</v>
      </c>
      <c r="K31" s="11"/>
    </row>
    <row r="32" spans="1:11" x14ac:dyDescent="0.2">
      <c r="A32" s="11"/>
      <c r="B32" s="12"/>
      <c r="C32" s="12"/>
      <c r="D32" s="12"/>
      <c r="E32" s="12"/>
      <c r="F32" s="12"/>
      <c r="G32" s="12"/>
      <c r="H32" s="12"/>
      <c r="I32" s="12"/>
      <c r="J32" s="12"/>
      <c r="K32" s="12"/>
    </row>
  </sheetData>
  <mergeCells count="18">
    <mergeCell ref="J28:K28"/>
    <mergeCell ref="A29:K29"/>
    <mergeCell ref="A30:K30"/>
    <mergeCell ref="A6:A8"/>
    <mergeCell ref="B6:B8"/>
    <mergeCell ref="C6:C8"/>
    <mergeCell ref="D6:H6"/>
    <mergeCell ref="J6:J8"/>
    <mergeCell ref="D7:D8"/>
    <mergeCell ref="E7:G7"/>
    <mergeCell ref="I6:I8"/>
    <mergeCell ref="A4:K4"/>
    <mergeCell ref="K6:K8"/>
    <mergeCell ref="H7:H8"/>
    <mergeCell ref="C1:H1"/>
    <mergeCell ref="A5:C5"/>
    <mergeCell ref="A2:K2"/>
    <mergeCell ref="A3:K3"/>
  </mergeCells>
  <phoneticPr fontId="0" type="noConversion"/>
  <printOptions horizontalCentered="1"/>
  <pageMargins left="0.4" right="0.33" top="0.23622047244094491" bottom="0.27" header="0.31496062992125984" footer="0.17"/>
  <pageSetup paperSize="9" scale="91"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39997558519241921"/>
    <pageSetUpPr fitToPage="1"/>
  </sheetPr>
  <dimension ref="A1:W41"/>
  <sheetViews>
    <sheetView view="pageBreakPreview" topLeftCell="A12" zoomScale="90" zoomScaleSheetLayoutView="90" workbookViewId="0">
      <selection activeCell="T23" sqref="T23"/>
    </sheetView>
  </sheetViews>
  <sheetFormatPr defaultRowHeight="12.75" x14ac:dyDescent="0.2"/>
  <cols>
    <col min="1" max="1" width="5" style="12" customWidth="1"/>
    <col min="2" max="2" width="15" style="12" customWidth="1"/>
    <col min="3" max="3" width="12.28515625" style="12" customWidth="1"/>
    <col min="4" max="4" width="9.85546875" style="12" customWidth="1"/>
    <col min="5" max="5" width="11.42578125" style="12" customWidth="1"/>
    <col min="6" max="6" width="10.7109375" style="12" customWidth="1"/>
    <col min="7" max="7" width="11.7109375" style="12" customWidth="1"/>
    <col min="8" max="8" width="13.28515625" style="12" customWidth="1"/>
    <col min="9" max="9" width="9.7109375" style="12" customWidth="1"/>
    <col min="10" max="10" width="10.140625" style="12" customWidth="1"/>
    <col min="11" max="11" width="8.140625" style="12" customWidth="1"/>
    <col min="12" max="12" width="9.28515625" style="12" customWidth="1"/>
    <col min="13" max="16" width="8.140625" style="12" customWidth="1"/>
    <col min="17" max="17" width="8.85546875" style="12" customWidth="1"/>
    <col min="18" max="18" width="8.140625" style="12" customWidth="1"/>
    <col min="19" max="19" width="11" style="12" customWidth="1"/>
    <col min="20" max="20" width="12.7109375" style="12" customWidth="1"/>
    <col min="21" max="16384" width="9.140625" style="12"/>
  </cols>
  <sheetData>
    <row r="1" spans="1:23" ht="15" x14ac:dyDescent="0.2">
      <c r="G1" s="1037"/>
      <c r="H1" s="1037"/>
      <c r="I1" s="1037"/>
      <c r="S1" s="1237" t="s">
        <v>673</v>
      </c>
      <c r="T1" s="1237"/>
    </row>
    <row r="2" spans="1:23" ht="15.75" x14ac:dyDescent="0.25">
      <c r="A2" s="1131" t="s">
        <v>0</v>
      </c>
      <c r="B2" s="1131"/>
      <c r="C2" s="1131"/>
      <c r="D2" s="1131"/>
      <c r="E2" s="1131"/>
      <c r="F2" s="1131"/>
      <c r="G2" s="1131"/>
      <c r="H2" s="1131"/>
      <c r="I2" s="1131"/>
      <c r="J2" s="1131"/>
      <c r="K2" s="1131"/>
      <c r="L2" s="1131"/>
      <c r="M2" s="1131"/>
      <c r="N2" s="1131"/>
      <c r="O2" s="1131"/>
      <c r="P2" s="1131"/>
      <c r="Q2" s="1131"/>
      <c r="R2" s="1131"/>
      <c r="S2" s="1131"/>
      <c r="T2" s="1131"/>
    </row>
    <row r="3" spans="1:23" ht="15.75" x14ac:dyDescent="0.25">
      <c r="A3" s="1131" t="s">
        <v>788</v>
      </c>
      <c r="B3" s="1131"/>
      <c r="C3" s="1131"/>
      <c r="D3" s="1131"/>
      <c r="E3" s="1131"/>
      <c r="F3" s="1131"/>
      <c r="G3" s="1131"/>
      <c r="H3" s="1131"/>
      <c r="I3" s="1131"/>
      <c r="J3" s="1131"/>
      <c r="K3" s="1131"/>
      <c r="L3" s="1131"/>
      <c r="M3" s="1131"/>
      <c r="N3" s="1131"/>
      <c r="O3" s="1131"/>
      <c r="P3" s="1131"/>
      <c r="Q3" s="1131"/>
      <c r="R3" s="1131"/>
      <c r="S3" s="1131"/>
      <c r="T3" s="1131"/>
    </row>
    <row r="4" spans="1:23" s="48" customFormat="1" ht="15.75" customHeight="1" x14ac:dyDescent="0.2">
      <c r="A4" s="1476" t="s">
        <v>827</v>
      </c>
      <c r="B4" s="1476"/>
      <c r="C4" s="1476"/>
      <c r="D4" s="1476"/>
      <c r="E4" s="1476"/>
      <c r="F4" s="1476"/>
      <c r="G4" s="1476"/>
      <c r="H4" s="1476"/>
      <c r="I4" s="1476"/>
      <c r="J4" s="1476"/>
      <c r="K4" s="1476"/>
      <c r="L4" s="1476"/>
      <c r="M4" s="1476"/>
      <c r="N4" s="1476"/>
      <c r="O4" s="1476"/>
      <c r="P4" s="1476"/>
      <c r="Q4" s="1476"/>
      <c r="R4" s="1476"/>
      <c r="S4" s="1476"/>
      <c r="T4" s="1476"/>
    </row>
    <row r="5" spans="1:23" ht="12.75" customHeight="1" x14ac:dyDescent="0.2">
      <c r="A5" s="1476"/>
      <c r="B5" s="1476"/>
      <c r="C5" s="1476"/>
      <c r="D5" s="1476"/>
      <c r="E5" s="1476"/>
      <c r="F5" s="1476"/>
      <c r="G5" s="1476"/>
      <c r="H5" s="1476"/>
      <c r="I5" s="1476"/>
      <c r="J5" s="1476"/>
      <c r="K5" s="1476"/>
      <c r="L5" s="1476"/>
      <c r="M5" s="1476"/>
      <c r="N5" s="1476"/>
      <c r="O5" s="1476"/>
      <c r="P5" s="1476"/>
      <c r="Q5" s="1476"/>
      <c r="R5" s="1476"/>
      <c r="S5" s="1476"/>
      <c r="T5" s="1476"/>
    </row>
    <row r="6" spans="1:23" s="451" customFormat="1" ht="12" x14ac:dyDescent="0.2">
      <c r="A6" s="1240" t="s">
        <v>456</v>
      </c>
      <c r="B6" s="1240"/>
      <c r="C6" s="1240"/>
      <c r="H6" s="492"/>
      <c r="K6" s="1477"/>
      <c r="L6" s="1477"/>
      <c r="M6" s="1477"/>
      <c r="N6" s="1477"/>
      <c r="O6" s="1477"/>
      <c r="P6" s="1477"/>
      <c r="Q6" s="1477"/>
      <c r="R6" s="1477"/>
    </row>
    <row r="7" spans="1:23" ht="36" customHeight="1" x14ac:dyDescent="0.2">
      <c r="A7" s="1145" t="s">
        <v>2</v>
      </c>
      <c r="B7" s="1145" t="s">
        <v>3</v>
      </c>
      <c r="C7" s="1165" t="s">
        <v>672</v>
      </c>
      <c r="D7" s="1166"/>
      <c r="E7" s="1166"/>
      <c r="F7" s="1166"/>
      <c r="G7" s="1167"/>
      <c r="H7" s="1221" t="s">
        <v>85</v>
      </c>
      <c r="I7" s="1165" t="s">
        <v>86</v>
      </c>
      <c r="J7" s="1166"/>
      <c r="K7" s="1166"/>
      <c r="L7" s="1167"/>
      <c r="M7" s="1145" t="s">
        <v>755</v>
      </c>
      <c r="N7" s="1145"/>
      <c r="O7" s="1145"/>
      <c r="P7" s="1145"/>
      <c r="Q7" s="1145"/>
      <c r="R7" s="1145"/>
      <c r="S7" s="1475" t="s">
        <v>838</v>
      </c>
      <c r="T7" s="1475"/>
    </row>
    <row r="8" spans="1:23" ht="44.45" customHeight="1" x14ac:dyDescent="0.2">
      <c r="A8" s="1145"/>
      <c r="B8" s="1145"/>
      <c r="C8" s="791" t="s">
        <v>609</v>
      </c>
      <c r="D8" s="189" t="s">
        <v>6</v>
      </c>
      <c r="E8" s="291" t="s">
        <v>487</v>
      </c>
      <c r="F8" s="194" t="s">
        <v>105</v>
      </c>
      <c r="G8" s="194" t="s">
        <v>254</v>
      </c>
      <c r="H8" s="1389"/>
      <c r="I8" s="190" t="s">
        <v>194</v>
      </c>
      <c r="J8" s="190" t="s">
        <v>119</v>
      </c>
      <c r="K8" s="190" t="s">
        <v>120</v>
      </c>
      <c r="L8" s="291" t="s">
        <v>512</v>
      </c>
      <c r="M8" s="682" t="s">
        <v>749</v>
      </c>
      <c r="N8" s="722" t="s">
        <v>773</v>
      </c>
      <c r="O8" s="722" t="s">
        <v>774</v>
      </c>
      <c r="P8" s="722" t="s">
        <v>775</v>
      </c>
      <c r="Q8" s="682" t="s">
        <v>750</v>
      </c>
      <c r="R8" s="682" t="s">
        <v>751</v>
      </c>
      <c r="S8" s="805" t="s">
        <v>839</v>
      </c>
      <c r="T8" s="805" t="s">
        <v>840</v>
      </c>
    </row>
    <row r="9" spans="1:23" s="11" customFormat="1" x14ac:dyDescent="0.2">
      <c r="A9" s="189">
        <v>1</v>
      </c>
      <c r="B9" s="189">
        <v>2</v>
      </c>
      <c r="C9" s="189">
        <v>3</v>
      </c>
      <c r="D9" s="189">
        <v>4</v>
      </c>
      <c r="E9" s="189">
        <v>5</v>
      </c>
      <c r="F9" s="189">
        <v>6</v>
      </c>
      <c r="G9" s="189">
        <v>7</v>
      </c>
      <c r="H9" s="189">
        <v>8</v>
      </c>
      <c r="I9" s="189">
        <v>9</v>
      </c>
      <c r="J9" s="189">
        <v>10</v>
      </c>
      <c r="K9" s="189">
        <v>11</v>
      </c>
      <c r="L9" s="189">
        <v>12</v>
      </c>
      <c r="M9" s="678">
        <v>13</v>
      </c>
      <c r="N9" s="678">
        <v>14</v>
      </c>
      <c r="O9" s="678">
        <v>15</v>
      </c>
      <c r="P9" s="678">
        <v>16</v>
      </c>
      <c r="Q9" s="678">
        <v>17</v>
      </c>
      <c r="R9" s="678">
        <v>18</v>
      </c>
      <c r="S9" s="806">
        <v>19</v>
      </c>
      <c r="T9" s="806">
        <v>20</v>
      </c>
    </row>
    <row r="10" spans="1:23" ht="24.95" customHeight="1" x14ac:dyDescent="0.2">
      <c r="A10" s="188">
        <v>1</v>
      </c>
      <c r="B10" s="219" t="s">
        <v>386</v>
      </c>
      <c r="C10" s="488">
        <v>22440</v>
      </c>
      <c r="D10" s="488">
        <v>116</v>
      </c>
      <c r="E10" s="488">
        <v>0</v>
      </c>
      <c r="F10" s="488">
        <v>0</v>
      </c>
      <c r="G10" s="489">
        <f>C10+D10+E10+F10</f>
        <v>22556</v>
      </c>
      <c r="H10" s="490">
        <v>241</v>
      </c>
      <c r="I10" s="344">
        <f>J10</f>
        <v>543.59960000000001</v>
      </c>
      <c r="J10" s="344">
        <f>G10*H10*100/1000000</f>
        <v>543.59960000000001</v>
      </c>
      <c r="K10" s="199">
        <v>0</v>
      </c>
      <c r="L10" s="199"/>
      <c r="M10" s="845">
        <f>N10+O10+P10+Q10+R10</f>
        <v>108.71992</v>
      </c>
      <c r="N10" s="845">
        <f>(G10*35*20*0.000001)</f>
        <v>15.789199999999999</v>
      </c>
      <c r="O10" s="845">
        <f>(G10*35*20*0.000001)</f>
        <v>15.789199999999999</v>
      </c>
      <c r="P10" s="845">
        <f>(G10*171*20*0.000001)</f>
        <v>77.14152</v>
      </c>
      <c r="Q10" s="845"/>
      <c r="R10" s="845"/>
      <c r="S10" s="862">
        <v>2252.9</v>
      </c>
      <c r="T10" s="197">
        <f>I10*10*S10/1000000</f>
        <v>12.246755388400002</v>
      </c>
    </row>
    <row r="11" spans="1:23" ht="24.95" customHeight="1" x14ac:dyDescent="0.2">
      <c r="A11" s="188">
        <v>2</v>
      </c>
      <c r="B11" s="219" t="s">
        <v>387</v>
      </c>
      <c r="C11" s="488">
        <v>11044</v>
      </c>
      <c r="D11" s="488">
        <v>27</v>
      </c>
      <c r="E11" s="488">
        <v>0</v>
      </c>
      <c r="F11" s="488">
        <v>0</v>
      </c>
      <c r="G11" s="489">
        <f t="shared" ref="G11:G22" si="0">C11+D11+E11+F11</f>
        <v>11071</v>
      </c>
      <c r="H11" s="490">
        <v>241</v>
      </c>
      <c r="I11" s="344">
        <f t="shared" ref="I11:I22" si="1">J11</f>
        <v>266.81110000000001</v>
      </c>
      <c r="J11" s="344">
        <f t="shared" ref="J11:J21" si="2">G11*H11*100/1000000</f>
        <v>266.81110000000001</v>
      </c>
      <c r="K11" s="199">
        <v>0</v>
      </c>
      <c r="L11" s="199"/>
      <c r="M11" s="845">
        <f t="shared" ref="M11:M22" si="3">N11+O11+P11+Q11+R11</f>
        <v>53.362220000000001</v>
      </c>
      <c r="N11" s="845">
        <f t="shared" ref="N11:N22" si="4">(G11*35*20*0.000001)</f>
        <v>7.7496999999999998</v>
      </c>
      <c r="O11" s="845">
        <f t="shared" ref="O11:O22" si="5">(G11*35*20*0.000001)</f>
        <v>7.7496999999999998</v>
      </c>
      <c r="P11" s="845">
        <f t="shared" ref="P11:P22" si="6">(G11*171*20*0.000001)</f>
        <v>37.862819999999999</v>
      </c>
      <c r="Q11" s="845"/>
      <c r="R11" s="845"/>
      <c r="S11" s="862">
        <v>3726.1</v>
      </c>
      <c r="T11" s="197">
        <f t="shared" ref="T11:T23" si="7">I11*10*S11/1000000</f>
        <v>9.9416483970999998</v>
      </c>
      <c r="U11" s="11"/>
      <c r="V11" s="11"/>
      <c r="W11" s="11"/>
    </row>
    <row r="12" spans="1:23" ht="24.95" customHeight="1" x14ac:dyDescent="0.2">
      <c r="A12" s="188">
        <v>3</v>
      </c>
      <c r="B12" s="219" t="s">
        <v>388</v>
      </c>
      <c r="C12" s="488">
        <v>19793</v>
      </c>
      <c r="D12" s="488">
        <v>0</v>
      </c>
      <c r="E12" s="488">
        <v>0</v>
      </c>
      <c r="F12" s="488">
        <v>0</v>
      </c>
      <c r="G12" s="489">
        <f t="shared" si="0"/>
        <v>19793</v>
      </c>
      <c r="H12" s="490">
        <v>241</v>
      </c>
      <c r="I12" s="344">
        <f t="shared" si="1"/>
        <v>477.01130000000001</v>
      </c>
      <c r="J12" s="344">
        <f t="shared" si="2"/>
        <v>477.01130000000001</v>
      </c>
      <c r="K12" s="199">
        <v>0</v>
      </c>
      <c r="L12" s="199"/>
      <c r="M12" s="845">
        <f t="shared" si="3"/>
        <v>95.402259999999998</v>
      </c>
      <c r="N12" s="845">
        <f t="shared" si="4"/>
        <v>13.8551</v>
      </c>
      <c r="O12" s="845">
        <f t="shared" si="5"/>
        <v>13.8551</v>
      </c>
      <c r="P12" s="845">
        <f t="shared" si="6"/>
        <v>67.692059999999998</v>
      </c>
      <c r="Q12" s="845"/>
      <c r="R12" s="845"/>
      <c r="S12" s="862">
        <v>3214.8</v>
      </c>
      <c r="T12" s="197">
        <f t="shared" si="7"/>
        <v>15.334959272400001</v>
      </c>
      <c r="U12" s="721"/>
      <c r="V12" s="721"/>
      <c r="W12" s="721"/>
    </row>
    <row r="13" spans="1:23" ht="24.95" customHeight="1" x14ac:dyDescent="0.2">
      <c r="A13" s="188">
        <v>4</v>
      </c>
      <c r="B13" s="219" t="s">
        <v>389</v>
      </c>
      <c r="C13" s="488">
        <v>10883</v>
      </c>
      <c r="D13" s="488">
        <v>0</v>
      </c>
      <c r="E13" s="488">
        <v>0</v>
      </c>
      <c r="F13" s="488">
        <v>0</v>
      </c>
      <c r="G13" s="489">
        <f t="shared" si="0"/>
        <v>10883</v>
      </c>
      <c r="H13" s="490">
        <v>241</v>
      </c>
      <c r="I13" s="344">
        <f t="shared" si="1"/>
        <v>262.28030000000001</v>
      </c>
      <c r="J13" s="344">
        <f t="shared" si="2"/>
        <v>262.28030000000001</v>
      </c>
      <c r="K13" s="199">
        <v>0</v>
      </c>
      <c r="L13" s="199"/>
      <c r="M13" s="845">
        <f t="shared" si="3"/>
        <v>52.456059999999994</v>
      </c>
      <c r="N13" s="845">
        <f t="shared" si="4"/>
        <v>7.6181000000000001</v>
      </c>
      <c r="O13" s="845">
        <f t="shared" si="5"/>
        <v>7.6181000000000001</v>
      </c>
      <c r="P13" s="845">
        <f t="shared" si="6"/>
        <v>37.219859999999997</v>
      </c>
      <c r="Q13" s="845"/>
      <c r="R13" s="845"/>
      <c r="S13" s="862">
        <v>2227.1</v>
      </c>
      <c r="T13" s="197">
        <f t="shared" si="7"/>
        <v>5.841244561299999</v>
      </c>
      <c r="U13" s="11"/>
      <c r="V13" s="11"/>
      <c r="W13" s="11"/>
    </row>
    <row r="14" spans="1:23" ht="24.95" customHeight="1" x14ac:dyDescent="0.2">
      <c r="A14" s="188">
        <v>5</v>
      </c>
      <c r="B14" s="221" t="s">
        <v>390</v>
      </c>
      <c r="C14" s="488">
        <v>32005</v>
      </c>
      <c r="D14" s="488">
        <v>2268</v>
      </c>
      <c r="E14" s="488">
        <v>167</v>
      </c>
      <c r="F14" s="488">
        <v>1034</v>
      </c>
      <c r="G14" s="489">
        <f t="shared" si="0"/>
        <v>35474</v>
      </c>
      <c r="H14" s="490">
        <v>241</v>
      </c>
      <c r="I14" s="344">
        <f t="shared" si="1"/>
        <v>854.92340000000002</v>
      </c>
      <c r="J14" s="344">
        <f t="shared" si="2"/>
        <v>854.92340000000002</v>
      </c>
      <c r="K14" s="199">
        <v>0</v>
      </c>
      <c r="L14" s="199"/>
      <c r="M14" s="845">
        <f t="shared" si="3"/>
        <v>170.98468</v>
      </c>
      <c r="N14" s="845">
        <f t="shared" si="4"/>
        <v>24.831799999999998</v>
      </c>
      <c r="O14" s="845">
        <f t="shared" si="5"/>
        <v>24.831799999999998</v>
      </c>
      <c r="P14" s="845">
        <f t="shared" si="6"/>
        <v>121.32107999999999</v>
      </c>
      <c r="Q14" s="845"/>
      <c r="R14" s="845"/>
      <c r="S14" s="862">
        <v>1273.2</v>
      </c>
      <c r="T14" s="197">
        <f t="shared" si="7"/>
        <v>10.884884728800001</v>
      </c>
      <c r="U14" s="721"/>
      <c r="V14" s="721"/>
      <c r="W14" s="721"/>
    </row>
    <row r="15" spans="1:23" ht="24.95" customHeight="1" x14ac:dyDescent="0.2">
      <c r="A15" s="188">
        <v>6</v>
      </c>
      <c r="B15" s="219" t="s">
        <v>391</v>
      </c>
      <c r="C15" s="488">
        <v>53854</v>
      </c>
      <c r="D15" s="488">
        <v>2306</v>
      </c>
      <c r="E15" s="488">
        <v>382</v>
      </c>
      <c r="F15" s="488">
        <v>12919</v>
      </c>
      <c r="G15" s="489">
        <f t="shared" si="0"/>
        <v>69461</v>
      </c>
      <c r="H15" s="490">
        <v>241</v>
      </c>
      <c r="I15" s="344">
        <f t="shared" si="1"/>
        <v>1674.0101</v>
      </c>
      <c r="J15" s="344">
        <f t="shared" si="2"/>
        <v>1674.0101</v>
      </c>
      <c r="K15" s="199">
        <v>0</v>
      </c>
      <c r="L15" s="199"/>
      <c r="M15" s="845">
        <f t="shared" si="3"/>
        <v>334.80201999999997</v>
      </c>
      <c r="N15" s="845">
        <f t="shared" si="4"/>
        <v>48.622699999999995</v>
      </c>
      <c r="O15" s="845">
        <f t="shared" si="5"/>
        <v>48.622699999999995</v>
      </c>
      <c r="P15" s="845">
        <f t="shared" si="6"/>
        <v>237.55661999999998</v>
      </c>
      <c r="Q15" s="845"/>
      <c r="R15" s="845"/>
      <c r="S15" s="862">
        <v>766.8</v>
      </c>
      <c r="T15" s="197">
        <f t="shared" si="7"/>
        <v>12.8363094468</v>
      </c>
      <c r="U15" s="11"/>
      <c r="V15" s="11"/>
      <c r="W15" s="11"/>
    </row>
    <row r="16" spans="1:23" ht="24.95" customHeight="1" x14ac:dyDescent="0.2">
      <c r="A16" s="188">
        <v>7</v>
      </c>
      <c r="B16" s="221" t="s">
        <v>392</v>
      </c>
      <c r="C16" s="488">
        <v>29896</v>
      </c>
      <c r="D16" s="488">
        <v>181</v>
      </c>
      <c r="E16" s="488">
        <v>0</v>
      </c>
      <c r="F16" s="488">
        <v>183</v>
      </c>
      <c r="G16" s="489">
        <f t="shared" si="0"/>
        <v>30260</v>
      </c>
      <c r="H16" s="490">
        <v>241</v>
      </c>
      <c r="I16" s="344">
        <f>J16</f>
        <v>729.26599999999996</v>
      </c>
      <c r="J16" s="344">
        <f>G16*H16*100/1000000</f>
        <v>729.26599999999996</v>
      </c>
      <c r="K16" s="199">
        <v>0</v>
      </c>
      <c r="L16" s="199"/>
      <c r="M16" s="845">
        <f t="shared" si="3"/>
        <v>145.85319999999999</v>
      </c>
      <c r="N16" s="845">
        <f t="shared" si="4"/>
        <v>21.181999999999999</v>
      </c>
      <c r="O16" s="845">
        <f t="shared" si="5"/>
        <v>21.181999999999999</v>
      </c>
      <c r="P16" s="845">
        <f t="shared" si="6"/>
        <v>103.4892</v>
      </c>
      <c r="Q16" s="845"/>
      <c r="R16" s="845"/>
      <c r="S16" s="862">
        <v>1840</v>
      </c>
      <c r="T16" s="197">
        <f t="shared" si="7"/>
        <v>13.4184944</v>
      </c>
      <c r="U16" s="721"/>
      <c r="V16" s="721"/>
      <c r="W16" s="721"/>
    </row>
    <row r="17" spans="1:23" ht="24.95" customHeight="1" x14ac:dyDescent="0.2">
      <c r="A17" s="188">
        <v>8</v>
      </c>
      <c r="B17" s="219" t="s">
        <v>393</v>
      </c>
      <c r="C17" s="488">
        <v>22797</v>
      </c>
      <c r="D17" s="488">
        <v>23</v>
      </c>
      <c r="E17" s="488">
        <v>0</v>
      </c>
      <c r="F17" s="488">
        <v>0</v>
      </c>
      <c r="G17" s="489">
        <f t="shared" si="0"/>
        <v>22820</v>
      </c>
      <c r="H17" s="490">
        <v>241</v>
      </c>
      <c r="I17" s="344">
        <f t="shared" si="1"/>
        <v>549.96199999999999</v>
      </c>
      <c r="J17" s="344">
        <f t="shared" si="2"/>
        <v>549.96199999999999</v>
      </c>
      <c r="K17" s="199">
        <v>0</v>
      </c>
      <c r="L17" s="199"/>
      <c r="M17" s="845">
        <f t="shared" si="3"/>
        <v>109.99239999999999</v>
      </c>
      <c r="N17" s="845">
        <f t="shared" si="4"/>
        <v>15.973999999999998</v>
      </c>
      <c r="O17" s="845">
        <f t="shared" si="5"/>
        <v>15.973999999999998</v>
      </c>
      <c r="P17" s="845">
        <f t="shared" si="6"/>
        <v>78.044399999999996</v>
      </c>
      <c r="Q17" s="845"/>
      <c r="R17" s="845"/>
      <c r="S17" s="862">
        <v>2223.5</v>
      </c>
      <c r="T17" s="197">
        <f t="shared" si="7"/>
        <v>12.228405070000001</v>
      </c>
      <c r="U17" s="11"/>
      <c r="V17" s="11"/>
      <c r="W17" s="11"/>
    </row>
    <row r="18" spans="1:23" ht="24.95" customHeight="1" x14ac:dyDescent="0.2">
      <c r="A18" s="188">
        <v>9</v>
      </c>
      <c r="B18" s="219" t="s">
        <v>394</v>
      </c>
      <c r="C18" s="488">
        <v>15692</v>
      </c>
      <c r="D18" s="488">
        <v>44</v>
      </c>
      <c r="E18" s="488">
        <v>0</v>
      </c>
      <c r="F18" s="488">
        <v>0</v>
      </c>
      <c r="G18" s="489">
        <f t="shared" si="0"/>
        <v>15736</v>
      </c>
      <c r="H18" s="490">
        <v>241</v>
      </c>
      <c r="I18" s="344">
        <f t="shared" si="1"/>
        <v>379.23759999999999</v>
      </c>
      <c r="J18" s="344">
        <f t="shared" si="2"/>
        <v>379.23759999999999</v>
      </c>
      <c r="K18" s="199">
        <v>0</v>
      </c>
      <c r="L18" s="199"/>
      <c r="M18" s="845">
        <f t="shared" si="3"/>
        <v>75.847520000000003</v>
      </c>
      <c r="N18" s="845">
        <f t="shared" si="4"/>
        <v>11.0152</v>
      </c>
      <c r="O18" s="845">
        <f t="shared" si="5"/>
        <v>11.0152</v>
      </c>
      <c r="P18" s="845">
        <f t="shared" si="6"/>
        <v>53.817119999999996</v>
      </c>
      <c r="Q18" s="845"/>
      <c r="R18" s="845"/>
      <c r="S18" s="862">
        <v>1985.6</v>
      </c>
      <c r="T18" s="197">
        <f t="shared" si="7"/>
        <v>7.5301417855999988</v>
      </c>
      <c r="U18" s="721"/>
      <c r="V18" s="721"/>
      <c r="W18" s="721"/>
    </row>
    <row r="19" spans="1:23" ht="24.95" customHeight="1" x14ac:dyDescent="0.2">
      <c r="A19" s="188">
        <v>10</v>
      </c>
      <c r="B19" s="219" t="s">
        <v>395</v>
      </c>
      <c r="C19" s="488">
        <v>11086</v>
      </c>
      <c r="D19" s="488">
        <v>0</v>
      </c>
      <c r="E19" s="488">
        <v>0</v>
      </c>
      <c r="F19" s="488">
        <v>0</v>
      </c>
      <c r="G19" s="489">
        <f t="shared" si="0"/>
        <v>11086</v>
      </c>
      <c r="H19" s="490">
        <v>241</v>
      </c>
      <c r="I19" s="344">
        <f t="shared" si="1"/>
        <v>267.17259999999999</v>
      </c>
      <c r="J19" s="344">
        <f t="shared" si="2"/>
        <v>267.17259999999999</v>
      </c>
      <c r="K19" s="199">
        <v>0</v>
      </c>
      <c r="L19" s="199"/>
      <c r="M19" s="845">
        <f t="shared" si="3"/>
        <v>53.434519999999992</v>
      </c>
      <c r="N19" s="845">
        <f t="shared" si="4"/>
        <v>7.7601999999999993</v>
      </c>
      <c r="O19" s="845">
        <f t="shared" si="5"/>
        <v>7.7601999999999993</v>
      </c>
      <c r="P19" s="845">
        <f t="shared" si="6"/>
        <v>37.914119999999997</v>
      </c>
      <c r="Q19" s="845"/>
      <c r="R19" s="845"/>
      <c r="S19" s="862">
        <v>2740</v>
      </c>
      <c r="T19" s="197">
        <f t="shared" si="7"/>
        <v>7.320529239999999</v>
      </c>
      <c r="U19" s="11"/>
      <c r="V19" s="11"/>
      <c r="W19" s="11"/>
    </row>
    <row r="20" spans="1:23" ht="24.95" customHeight="1" x14ac:dyDescent="0.2">
      <c r="A20" s="188">
        <v>11</v>
      </c>
      <c r="B20" s="219" t="s">
        <v>396</v>
      </c>
      <c r="C20" s="488">
        <v>26249</v>
      </c>
      <c r="D20" s="488">
        <v>0</v>
      </c>
      <c r="E20" s="488">
        <v>0</v>
      </c>
      <c r="F20" s="488">
        <v>0</v>
      </c>
      <c r="G20" s="489">
        <f t="shared" si="0"/>
        <v>26249</v>
      </c>
      <c r="H20" s="490">
        <v>241</v>
      </c>
      <c r="I20" s="344">
        <f t="shared" si="1"/>
        <v>632.60090000000002</v>
      </c>
      <c r="J20" s="344">
        <f t="shared" si="2"/>
        <v>632.60090000000002</v>
      </c>
      <c r="K20" s="199">
        <v>0</v>
      </c>
      <c r="L20" s="199"/>
      <c r="M20" s="845">
        <f t="shared" si="3"/>
        <v>126.52018</v>
      </c>
      <c r="N20" s="845">
        <f t="shared" si="4"/>
        <v>18.374299999999998</v>
      </c>
      <c r="O20" s="845">
        <f t="shared" si="5"/>
        <v>18.374299999999998</v>
      </c>
      <c r="P20" s="845">
        <f t="shared" si="6"/>
        <v>89.77158</v>
      </c>
      <c r="Q20" s="845"/>
      <c r="R20" s="845"/>
      <c r="S20" s="862">
        <v>3907.8</v>
      </c>
      <c r="T20" s="197">
        <f t="shared" si="7"/>
        <v>24.720777970200004</v>
      </c>
      <c r="U20" s="721"/>
      <c r="V20" s="721"/>
      <c r="W20" s="721"/>
    </row>
    <row r="21" spans="1:23" ht="24.95" customHeight="1" x14ac:dyDescent="0.2">
      <c r="A21" s="188">
        <v>12</v>
      </c>
      <c r="B21" s="219" t="s">
        <v>397</v>
      </c>
      <c r="C21" s="488">
        <v>49087</v>
      </c>
      <c r="D21" s="488">
        <v>1736</v>
      </c>
      <c r="E21" s="488">
        <v>41</v>
      </c>
      <c r="F21" s="488">
        <v>4816</v>
      </c>
      <c r="G21" s="489">
        <f t="shared" si="0"/>
        <v>55680</v>
      </c>
      <c r="H21" s="490">
        <v>241</v>
      </c>
      <c r="I21" s="344">
        <f t="shared" si="1"/>
        <v>1341.8879999999999</v>
      </c>
      <c r="J21" s="344">
        <f t="shared" si="2"/>
        <v>1341.8879999999999</v>
      </c>
      <c r="K21" s="199">
        <v>0</v>
      </c>
      <c r="L21" s="199"/>
      <c r="M21" s="845">
        <f t="shared" si="3"/>
        <v>268.37760000000003</v>
      </c>
      <c r="N21" s="845">
        <f t="shared" si="4"/>
        <v>38.975999999999999</v>
      </c>
      <c r="O21" s="845">
        <f t="shared" si="5"/>
        <v>38.975999999999999</v>
      </c>
      <c r="P21" s="845">
        <f t="shared" si="6"/>
        <v>190.4256</v>
      </c>
      <c r="Q21" s="845"/>
      <c r="R21" s="845"/>
      <c r="S21" s="862">
        <v>421</v>
      </c>
      <c r="T21" s="197">
        <f t="shared" si="7"/>
        <v>5.6493484799999996</v>
      </c>
      <c r="U21" s="11"/>
      <c r="V21" s="11"/>
      <c r="W21" s="11"/>
    </row>
    <row r="22" spans="1:23" ht="24.95" customHeight="1" x14ac:dyDescent="0.2">
      <c r="A22" s="188">
        <v>13</v>
      </c>
      <c r="B22" s="219" t="s">
        <v>398</v>
      </c>
      <c r="C22" s="488">
        <v>16181</v>
      </c>
      <c r="D22" s="488">
        <v>0</v>
      </c>
      <c r="E22" s="488">
        <v>0</v>
      </c>
      <c r="F22" s="488">
        <v>0</v>
      </c>
      <c r="G22" s="489">
        <f t="shared" si="0"/>
        <v>16181</v>
      </c>
      <c r="H22" s="490">
        <v>241</v>
      </c>
      <c r="I22" s="344">
        <f t="shared" si="1"/>
        <v>389.96210000000002</v>
      </c>
      <c r="J22" s="344">
        <f>G22*H22*100/1000000</f>
        <v>389.96210000000002</v>
      </c>
      <c r="K22" s="199">
        <v>0</v>
      </c>
      <c r="L22" s="693"/>
      <c r="M22" s="845">
        <f t="shared" si="3"/>
        <v>77.992419999999996</v>
      </c>
      <c r="N22" s="845">
        <f t="shared" si="4"/>
        <v>11.326699999999999</v>
      </c>
      <c r="O22" s="845">
        <f t="shared" si="5"/>
        <v>11.326699999999999</v>
      </c>
      <c r="P22" s="845">
        <f t="shared" si="6"/>
        <v>55.339019999999998</v>
      </c>
      <c r="Q22" s="845"/>
      <c r="R22" s="845"/>
      <c r="S22" s="862">
        <v>6135.6</v>
      </c>
      <c r="T22" s="197">
        <f t="shared" si="7"/>
        <v>23.926514607600005</v>
      </c>
      <c r="U22" s="721"/>
      <c r="V22" s="721"/>
      <c r="W22" s="721"/>
    </row>
    <row r="23" spans="1:23" s="11" customFormat="1" ht="24.95" customHeight="1" x14ac:dyDescent="0.2">
      <c r="A23" s="1168" t="s">
        <v>18</v>
      </c>
      <c r="B23" s="1159"/>
      <c r="C23" s="491">
        <f>SUM(C10:C22)</f>
        <v>321007</v>
      </c>
      <c r="D23" s="491">
        <f>SUM(D10:D22)</f>
        <v>6701</v>
      </c>
      <c r="E23" s="491">
        <f>SUM(E10:E22)</f>
        <v>590</v>
      </c>
      <c r="F23" s="491">
        <f>SUM(F10:F22)</f>
        <v>18952</v>
      </c>
      <c r="G23" s="491">
        <f>SUM(G10:G22)</f>
        <v>347250</v>
      </c>
      <c r="H23" s="479"/>
      <c r="I23" s="345">
        <f>SUM(I10:I22)</f>
        <v>8368.7250000000004</v>
      </c>
      <c r="J23" s="345">
        <f>SUM(J10:J22)</f>
        <v>8368.7250000000004</v>
      </c>
      <c r="K23" s="191">
        <v>0</v>
      </c>
      <c r="L23" s="191"/>
      <c r="M23" s="846">
        <f>SUM(M10:M22)</f>
        <v>1673.7450000000001</v>
      </c>
      <c r="N23" s="846">
        <f t="shared" ref="N23:P23" si="8">SUM(N10:N22)</f>
        <v>243.07499999999996</v>
      </c>
      <c r="O23" s="846">
        <f t="shared" si="8"/>
        <v>243.07499999999996</v>
      </c>
      <c r="P23" s="846">
        <f t="shared" si="8"/>
        <v>1187.5949999999998</v>
      </c>
      <c r="Q23" s="846"/>
      <c r="R23" s="846"/>
      <c r="S23" s="863">
        <f>AVERAGE(S10:S22)</f>
        <v>2516.4923076923078</v>
      </c>
      <c r="T23" s="198">
        <f t="shared" si="7"/>
        <v>210.59832087692308</v>
      </c>
    </row>
    <row r="24" spans="1:23" x14ac:dyDescent="0.2">
      <c r="A24" s="16"/>
      <c r="B24" s="16"/>
      <c r="C24" s="16"/>
      <c r="D24" s="16"/>
      <c r="E24" s="16"/>
      <c r="F24" s="16"/>
      <c r="G24" s="16"/>
      <c r="H24" s="16"/>
      <c r="S24" s="721"/>
      <c r="T24" s="11"/>
      <c r="U24" s="721"/>
      <c r="V24" s="721"/>
      <c r="W24" s="721"/>
    </row>
    <row r="25" spans="1:23" x14ac:dyDescent="0.2">
      <c r="A25" s="23" t="s">
        <v>7</v>
      </c>
      <c r="B25" s="20"/>
      <c r="C25" s="20"/>
      <c r="D25" s="16"/>
      <c r="E25" s="16"/>
      <c r="F25" s="16"/>
      <c r="H25" s="1089"/>
      <c r="I25" s="1089"/>
      <c r="J25" s="1089"/>
      <c r="K25" s="1089"/>
      <c r="L25" s="1089"/>
      <c r="M25" s="1089"/>
      <c r="N25" s="1089"/>
      <c r="S25" s="11"/>
      <c r="T25" s="11"/>
      <c r="U25" s="11"/>
      <c r="V25" s="11"/>
      <c r="W25" s="11"/>
    </row>
    <row r="26" spans="1:23" x14ac:dyDescent="0.2">
      <c r="A26" s="11" t="s">
        <v>8</v>
      </c>
      <c r="B26" s="11"/>
      <c r="C26" s="11"/>
      <c r="H26" s="1089"/>
      <c r="I26" s="1089"/>
      <c r="J26" s="1089"/>
      <c r="K26" s="1089"/>
      <c r="L26" s="1089"/>
      <c r="M26" s="1089"/>
      <c r="N26" s="1089"/>
    </row>
    <row r="27" spans="1:23" x14ac:dyDescent="0.2">
      <c r="A27" s="11" t="s">
        <v>9</v>
      </c>
      <c r="B27" s="11"/>
      <c r="C27" s="11"/>
      <c r="H27" s="1089"/>
      <c r="I27" s="1089"/>
      <c r="J27" s="1089"/>
      <c r="K27" s="1089"/>
      <c r="L27" s="1089"/>
      <c r="M27" s="1089"/>
      <c r="N27" s="1089"/>
    </row>
    <row r="28" spans="1:23" x14ac:dyDescent="0.2">
      <c r="A28" s="1075"/>
      <c r="B28" s="1075"/>
      <c r="C28" s="1075"/>
      <c r="D28" s="1075"/>
      <c r="K28" s="16"/>
      <c r="L28" s="16"/>
      <c r="M28" s="75"/>
      <c r="N28" s="75"/>
      <c r="O28" s="75"/>
      <c r="P28" s="75"/>
      <c r="Q28" s="75"/>
      <c r="R28" s="75"/>
    </row>
    <row r="29" spans="1:23" x14ac:dyDescent="0.2">
      <c r="A29" s="347"/>
      <c r="B29" s="351"/>
      <c r="C29" s="351"/>
      <c r="D29" s="350"/>
      <c r="E29" s="350"/>
      <c r="F29" s="350"/>
      <c r="G29" s="350"/>
      <c r="H29" s="350"/>
      <c r="I29" s="350"/>
      <c r="J29" s="350"/>
      <c r="K29" s="350"/>
      <c r="L29" s="350"/>
      <c r="M29" s="350"/>
      <c r="N29" s="350"/>
      <c r="O29" s="350"/>
      <c r="P29" s="350"/>
      <c r="Q29" s="350"/>
      <c r="R29" s="350"/>
    </row>
    <row r="30" spans="1:23" x14ac:dyDescent="0.2">
      <c r="A30" s="347"/>
      <c r="B30" s="1474"/>
      <c r="C30" s="1474"/>
      <c r="D30" s="1474"/>
      <c r="E30" s="1474"/>
      <c r="F30" s="353"/>
      <c r="G30" s="350"/>
      <c r="H30" s="350"/>
      <c r="I30" s="350"/>
      <c r="J30" s="350"/>
      <c r="K30" s="350"/>
      <c r="L30" s="350"/>
      <c r="M30" s="350"/>
      <c r="N30" s="350"/>
      <c r="O30" s="350"/>
      <c r="P30" s="350"/>
      <c r="Q30" s="350"/>
      <c r="R30" s="350"/>
    </row>
    <row r="31" spans="1:23" x14ac:dyDescent="0.2">
      <c r="A31" s="351"/>
      <c r="B31" s="1474"/>
      <c r="C31" s="1474"/>
      <c r="D31" s="1474"/>
      <c r="E31" s="1474"/>
      <c r="F31" s="1474"/>
      <c r="G31" s="1474"/>
      <c r="H31" s="1474"/>
      <c r="I31" s="1474"/>
      <c r="J31" s="1474"/>
      <c r="K31" s="1474"/>
      <c r="L31" s="1474"/>
      <c r="M31" s="1474"/>
      <c r="N31" s="1474"/>
      <c r="O31" s="1474"/>
      <c r="P31" s="1474"/>
      <c r="Q31" s="1474"/>
      <c r="R31" s="1474"/>
    </row>
    <row r="32" spans="1:23" x14ac:dyDescent="0.2">
      <c r="A32" s="351"/>
      <c r="B32" s="351"/>
      <c r="C32" s="351"/>
      <c r="D32" s="350"/>
      <c r="E32" s="350"/>
      <c r="F32" s="350"/>
      <c r="G32" s="350"/>
      <c r="H32" s="350"/>
      <c r="I32" s="350"/>
      <c r="J32" s="350"/>
      <c r="K32" s="350"/>
      <c r="L32" s="350"/>
      <c r="M32" s="350"/>
      <c r="N32" s="350"/>
      <c r="O32" s="350"/>
      <c r="P32" s="350"/>
      <c r="Q32" s="350"/>
      <c r="R32" s="350"/>
    </row>
    <row r="33" spans="1:18" x14ac:dyDescent="0.2">
      <c r="A33" s="351"/>
      <c r="B33" s="351"/>
      <c r="C33" s="351"/>
      <c r="D33" s="350"/>
      <c r="E33" s="350"/>
      <c r="F33" s="350"/>
      <c r="G33" s="350"/>
      <c r="H33" s="350"/>
      <c r="I33" s="350"/>
      <c r="J33" s="350"/>
      <c r="K33" s="350"/>
      <c r="L33" s="350"/>
      <c r="M33" s="350"/>
      <c r="N33" s="350"/>
      <c r="O33" s="350"/>
      <c r="P33" s="350"/>
      <c r="Q33" s="350"/>
      <c r="R33" s="350"/>
    </row>
    <row r="34" spans="1:18" x14ac:dyDescent="0.2">
      <c r="A34" s="351"/>
      <c r="B34" s="351"/>
      <c r="C34" s="351"/>
      <c r="D34" s="350"/>
      <c r="E34" s="350"/>
      <c r="F34" s="350"/>
      <c r="G34" s="350"/>
      <c r="H34" s="350"/>
      <c r="I34" s="350"/>
      <c r="J34" s="350"/>
      <c r="K34" s="350"/>
      <c r="L34" s="350"/>
      <c r="M34" s="350"/>
      <c r="N34" s="350"/>
      <c r="O34" s="350"/>
      <c r="P34" s="350"/>
      <c r="Q34" s="350"/>
      <c r="R34" s="350"/>
    </row>
    <row r="35" spans="1:18" x14ac:dyDescent="0.2">
      <c r="A35" s="11"/>
      <c r="B35" s="11"/>
      <c r="C35" s="11"/>
    </row>
    <row r="36" spans="1:18" x14ac:dyDescent="0.2">
      <c r="A36" s="11"/>
      <c r="B36" s="11"/>
      <c r="C36" s="11"/>
      <c r="M36" s="695"/>
    </row>
    <row r="37" spans="1:18" x14ac:dyDescent="0.2">
      <c r="A37" s="11" t="s">
        <v>11</v>
      </c>
      <c r="H37" s="11"/>
      <c r="J37" s="11"/>
      <c r="K37" s="11"/>
      <c r="L37" s="11"/>
      <c r="M37" s="11"/>
      <c r="N37" s="11"/>
      <c r="O37" s="11"/>
      <c r="P37" s="11"/>
      <c r="Q37" s="11"/>
      <c r="R37" s="11"/>
    </row>
    <row r="38" spans="1:18" ht="12.75" customHeight="1" x14ac:dyDescent="0.2">
      <c r="I38" s="11"/>
      <c r="J38" s="1473" t="s">
        <v>13</v>
      </c>
      <c r="K38" s="1473"/>
      <c r="L38" s="1473"/>
      <c r="M38" s="1473"/>
      <c r="N38" s="1473"/>
      <c r="O38" s="1473"/>
      <c r="P38" s="1473"/>
      <c r="Q38" s="1473"/>
      <c r="R38" s="1473"/>
    </row>
    <row r="39" spans="1:18" ht="12.75" customHeight="1" x14ac:dyDescent="0.2">
      <c r="I39" s="1473" t="s">
        <v>87</v>
      </c>
      <c r="J39" s="1473"/>
      <c r="K39" s="1473"/>
      <c r="L39" s="1473"/>
      <c r="M39" s="1473"/>
      <c r="N39" s="1473"/>
      <c r="O39" s="1473"/>
      <c r="P39" s="1473"/>
      <c r="Q39" s="1473"/>
      <c r="R39" s="1473"/>
    </row>
    <row r="40" spans="1:18" x14ac:dyDescent="0.2">
      <c r="A40" s="11"/>
      <c r="B40" s="11"/>
      <c r="J40" s="11"/>
      <c r="K40" s="11"/>
      <c r="L40" s="11"/>
      <c r="M40" s="11"/>
      <c r="N40" s="11"/>
      <c r="O40" s="11"/>
      <c r="P40" s="11"/>
      <c r="Q40" s="11"/>
      <c r="R40" s="11" t="s">
        <v>84</v>
      </c>
    </row>
    <row r="41" spans="1:18" x14ac:dyDescent="0.2">
      <c r="C41" s="196"/>
      <c r="D41" s="196"/>
      <c r="E41" s="196"/>
      <c r="F41" s="196"/>
      <c r="G41" s="196"/>
      <c r="H41" s="139"/>
      <c r="I41" s="139"/>
      <c r="J41" s="139"/>
      <c r="K41" s="139"/>
      <c r="L41" s="139"/>
      <c r="M41" s="139"/>
      <c r="N41" s="139"/>
      <c r="O41" s="139"/>
      <c r="P41" s="139"/>
      <c r="Q41" s="139"/>
      <c r="R41" s="139"/>
    </row>
  </sheetData>
  <mergeCells count="21">
    <mergeCell ref="S7:T7"/>
    <mergeCell ref="A2:T2"/>
    <mergeCell ref="A3:T3"/>
    <mergeCell ref="A4:T5"/>
    <mergeCell ref="S1:T1"/>
    <mergeCell ref="G1:I1"/>
    <mergeCell ref="I7:L7"/>
    <mergeCell ref="A6:C6"/>
    <mergeCell ref="K6:R6"/>
    <mergeCell ref="M7:R7"/>
    <mergeCell ref="I39:R39"/>
    <mergeCell ref="J38:R38"/>
    <mergeCell ref="A7:A8"/>
    <mergeCell ref="B7:B8"/>
    <mergeCell ref="C7:G7"/>
    <mergeCell ref="H7:H8"/>
    <mergeCell ref="B31:R31"/>
    <mergeCell ref="H25:N27"/>
    <mergeCell ref="B30:E30"/>
    <mergeCell ref="A28:D28"/>
    <mergeCell ref="A23:B23"/>
  </mergeCells>
  <phoneticPr fontId="0" type="noConversion"/>
  <printOptions horizontalCentered="1"/>
  <pageMargins left="0.16" right="0.35" top="0.23622047244094491" bottom="0" header="0.31496062992125984" footer="0.31496062992125984"/>
  <pageSetup paperSize="9" scale="72"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39997558519241921"/>
    <pageSetUpPr fitToPage="1"/>
  </sheetPr>
  <dimension ref="A2:V42"/>
  <sheetViews>
    <sheetView view="pageBreakPreview" topLeftCell="A9" zoomScale="91" zoomScaleSheetLayoutView="91" workbookViewId="0">
      <selection activeCell="G23" sqref="G23"/>
    </sheetView>
  </sheetViews>
  <sheetFormatPr defaultRowHeight="12.75" x14ac:dyDescent="0.2"/>
  <cols>
    <col min="1" max="1" width="6.5703125" style="12" customWidth="1"/>
    <col min="2" max="2" width="17.28515625" style="12" customWidth="1"/>
    <col min="3" max="7" width="11.85546875" style="12" customWidth="1"/>
    <col min="8" max="8" width="11.140625" style="12" customWidth="1"/>
    <col min="9" max="12" width="10" style="12" customWidth="1"/>
    <col min="13" max="18" width="8.5703125" style="12" customWidth="1"/>
    <col min="19" max="19" width="10.7109375" style="12" customWidth="1"/>
    <col min="20" max="20" width="12.42578125" style="12" customWidth="1"/>
    <col min="21" max="16384" width="9.140625" style="12"/>
  </cols>
  <sheetData>
    <row r="2" spans="1:22" x14ac:dyDescent="0.2">
      <c r="G2" s="1037"/>
      <c r="H2" s="1037"/>
      <c r="I2" s="1037"/>
      <c r="S2" s="1040" t="s">
        <v>674</v>
      </c>
      <c r="T2" s="1040"/>
    </row>
    <row r="3" spans="1:22" ht="15" x14ac:dyDescent="0.2">
      <c r="A3" s="1152" t="s">
        <v>0</v>
      </c>
      <c r="B3" s="1152"/>
      <c r="C3" s="1152"/>
      <c r="D3" s="1152"/>
      <c r="E3" s="1152"/>
      <c r="F3" s="1152"/>
      <c r="G3" s="1152"/>
      <c r="H3" s="1152"/>
      <c r="I3" s="1152"/>
      <c r="J3" s="1152"/>
      <c r="K3" s="1152"/>
      <c r="L3" s="1152"/>
      <c r="M3" s="1152"/>
      <c r="N3" s="1152"/>
      <c r="O3" s="1152"/>
      <c r="P3" s="1152"/>
      <c r="Q3" s="1152"/>
      <c r="R3" s="1152"/>
      <c r="S3" s="1152"/>
      <c r="T3" s="1152"/>
    </row>
    <row r="4" spans="1:22" ht="15.75" x14ac:dyDescent="0.25">
      <c r="A4" s="1131" t="s">
        <v>788</v>
      </c>
      <c r="B4" s="1131"/>
      <c r="C4" s="1131"/>
      <c r="D4" s="1131"/>
      <c r="E4" s="1131"/>
      <c r="F4" s="1131"/>
      <c r="G4" s="1131"/>
      <c r="H4" s="1131"/>
      <c r="I4" s="1131"/>
      <c r="J4" s="1131"/>
      <c r="K4" s="1131"/>
      <c r="L4" s="1131"/>
      <c r="M4" s="1131"/>
      <c r="N4" s="1131"/>
      <c r="O4" s="1131"/>
      <c r="P4" s="1131"/>
      <c r="Q4" s="1131"/>
      <c r="R4" s="1131"/>
      <c r="S4" s="1131"/>
      <c r="T4" s="1131"/>
    </row>
    <row r="5" spans="1:22" s="48" customFormat="1" ht="18" customHeight="1" x14ac:dyDescent="0.25">
      <c r="A5" s="1478" t="s">
        <v>826</v>
      </c>
      <c r="B5" s="1478"/>
      <c r="C5" s="1478"/>
      <c r="D5" s="1478"/>
      <c r="E5" s="1478"/>
      <c r="F5" s="1478"/>
      <c r="G5" s="1478"/>
      <c r="H5" s="1478"/>
      <c r="I5" s="1478"/>
      <c r="J5" s="1478"/>
      <c r="K5" s="1478"/>
      <c r="L5" s="1478"/>
      <c r="M5" s="1478"/>
      <c r="N5" s="1478"/>
      <c r="O5" s="1478"/>
      <c r="P5" s="1478"/>
      <c r="Q5" s="1478"/>
      <c r="R5" s="1478"/>
      <c r="S5" s="1478"/>
      <c r="T5" s="1478"/>
    </row>
    <row r="6" spans="1:22" s="451" customFormat="1" ht="12" x14ac:dyDescent="0.2">
      <c r="A6" s="1240" t="s">
        <v>456</v>
      </c>
      <c r="B6" s="1240"/>
      <c r="C6" s="1240"/>
      <c r="H6" s="492"/>
      <c r="K6" s="1477"/>
      <c r="L6" s="1477"/>
      <c r="M6" s="1477"/>
      <c r="N6" s="1477"/>
      <c r="O6" s="1477"/>
      <c r="P6" s="1477"/>
      <c r="Q6" s="1477"/>
      <c r="R6" s="1477"/>
    </row>
    <row r="7" spans="1:22" ht="38.25" customHeight="1" x14ac:dyDescent="0.2">
      <c r="A7" s="1145" t="s">
        <v>2</v>
      </c>
      <c r="B7" s="1145" t="s">
        <v>3</v>
      </c>
      <c r="C7" s="1165" t="s">
        <v>672</v>
      </c>
      <c r="D7" s="1166"/>
      <c r="E7" s="1166"/>
      <c r="F7" s="1166"/>
      <c r="G7" s="1167"/>
      <c r="H7" s="1221" t="s">
        <v>85</v>
      </c>
      <c r="I7" s="1165" t="s">
        <v>86</v>
      </c>
      <c r="J7" s="1166"/>
      <c r="K7" s="1166"/>
      <c r="L7" s="1167"/>
      <c r="M7" s="1145" t="s">
        <v>755</v>
      </c>
      <c r="N7" s="1145"/>
      <c r="O7" s="1145"/>
      <c r="P7" s="1145"/>
      <c r="Q7" s="1145"/>
      <c r="R7" s="1145"/>
      <c r="S7" s="1475" t="s">
        <v>838</v>
      </c>
      <c r="T7" s="1475"/>
      <c r="V7" s="680" t="s">
        <v>756</v>
      </c>
    </row>
    <row r="8" spans="1:22" ht="44.25" customHeight="1" x14ac:dyDescent="0.2">
      <c r="A8" s="1145"/>
      <c r="B8" s="1145"/>
      <c r="C8" s="189" t="s">
        <v>5</v>
      </c>
      <c r="D8" s="189" t="s">
        <v>6</v>
      </c>
      <c r="E8" s="291" t="s">
        <v>487</v>
      </c>
      <c r="F8" s="194" t="s">
        <v>105</v>
      </c>
      <c r="G8" s="194" t="s">
        <v>247</v>
      </c>
      <c r="H8" s="1389"/>
      <c r="I8" s="190" t="s">
        <v>194</v>
      </c>
      <c r="J8" s="190" t="s">
        <v>119</v>
      </c>
      <c r="K8" s="190" t="s">
        <v>120</v>
      </c>
      <c r="L8" s="291" t="s">
        <v>512</v>
      </c>
      <c r="M8" s="682" t="s">
        <v>749</v>
      </c>
      <c r="N8" s="722" t="s">
        <v>773</v>
      </c>
      <c r="O8" s="722" t="s">
        <v>774</v>
      </c>
      <c r="P8" s="722" t="s">
        <v>775</v>
      </c>
      <c r="Q8" s="682" t="s">
        <v>750</v>
      </c>
      <c r="R8" s="682" t="s">
        <v>751</v>
      </c>
      <c r="S8" s="805" t="s">
        <v>839</v>
      </c>
      <c r="T8" s="805" t="s">
        <v>840</v>
      </c>
    </row>
    <row r="9" spans="1:22" s="11" customFormat="1" x14ac:dyDescent="0.2">
      <c r="A9" s="189">
        <v>1</v>
      </c>
      <c r="B9" s="189">
        <v>2</v>
      </c>
      <c r="C9" s="189">
        <v>3</v>
      </c>
      <c r="D9" s="189">
        <v>4</v>
      </c>
      <c r="E9" s="189">
        <v>5</v>
      </c>
      <c r="F9" s="189">
        <v>6</v>
      </c>
      <c r="G9" s="189">
        <v>7</v>
      </c>
      <c r="H9" s="189">
        <v>8</v>
      </c>
      <c r="I9" s="189">
        <v>9</v>
      </c>
      <c r="J9" s="189">
        <v>10</v>
      </c>
      <c r="K9" s="189">
        <v>11</v>
      </c>
      <c r="L9" s="189">
        <v>12</v>
      </c>
      <c r="M9" s="678">
        <v>13</v>
      </c>
      <c r="N9" s="678">
        <v>14</v>
      </c>
      <c r="O9" s="678">
        <v>15</v>
      </c>
      <c r="P9" s="678">
        <v>16</v>
      </c>
      <c r="Q9" s="678">
        <v>17</v>
      </c>
      <c r="R9" s="678">
        <v>18</v>
      </c>
      <c r="S9" s="806">
        <v>19</v>
      </c>
      <c r="T9" s="806">
        <v>20</v>
      </c>
    </row>
    <row r="10" spans="1:22" ht="24.95" customHeight="1" x14ac:dyDescent="0.2">
      <c r="A10" s="188">
        <v>1</v>
      </c>
      <c r="B10" s="358" t="s">
        <v>386</v>
      </c>
      <c r="C10" s="488">
        <v>16754</v>
      </c>
      <c r="D10" s="488">
        <v>2335</v>
      </c>
      <c r="E10" s="488">
        <v>0</v>
      </c>
      <c r="F10" s="488">
        <v>0</v>
      </c>
      <c r="G10" s="488">
        <f>C10+D10+E10+F10</f>
        <v>19089</v>
      </c>
      <c r="H10" s="490">
        <v>241</v>
      </c>
      <c r="I10" s="344">
        <f>J10+K10</f>
        <v>690.06735000000003</v>
      </c>
      <c r="J10" s="344">
        <f>G10*H10*150/1000000</f>
        <v>690.06735000000003</v>
      </c>
      <c r="K10" s="199">
        <v>0</v>
      </c>
      <c r="L10" s="199"/>
      <c r="M10" s="845">
        <f>N10+O10+P10+Q10+R10</f>
        <v>138.01346999999998</v>
      </c>
      <c r="N10" s="845">
        <f>(G10*35*30*0.000001)</f>
        <v>20.04345</v>
      </c>
      <c r="O10" s="845">
        <f>(G10*35*30*0.000001)</f>
        <v>20.04345</v>
      </c>
      <c r="P10" s="845">
        <f>(G10*171*30*0.000001)</f>
        <v>97.926569999999998</v>
      </c>
      <c r="Q10" s="845"/>
      <c r="R10" s="845"/>
      <c r="S10" s="862">
        <v>2252.9</v>
      </c>
      <c r="T10" s="197">
        <f>I10*10*S10/1000000</f>
        <v>15.546527328150002</v>
      </c>
    </row>
    <row r="11" spans="1:22" ht="24.95" customHeight="1" x14ac:dyDescent="0.2">
      <c r="A11" s="188">
        <v>2</v>
      </c>
      <c r="B11" s="358" t="s">
        <v>387</v>
      </c>
      <c r="C11" s="488">
        <v>8098</v>
      </c>
      <c r="D11" s="488">
        <v>860</v>
      </c>
      <c r="E11" s="488">
        <v>0</v>
      </c>
      <c r="F11" s="488">
        <v>0</v>
      </c>
      <c r="G11" s="488">
        <f t="shared" ref="G11:G22" si="0">C11+D11+E11+F11</f>
        <v>8958</v>
      </c>
      <c r="H11" s="490">
        <v>241</v>
      </c>
      <c r="I11" s="344">
        <f t="shared" ref="I11:I22" si="1">J11+K11</f>
        <v>323.83170000000001</v>
      </c>
      <c r="J11" s="344">
        <f t="shared" ref="J11:J22" si="2">G11*H11*150/1000000</f>
        <v>323.83170000000001</v>
      </c>
      <c r="K11" s="199">
        <v>0</v>
      </c>
      <c r="L11" s="199"/>
      <c r="M11" s="845">
        <f t="shared" ref="M11:M22" si="3">N11+O11+P11+Q11+R11</f>
        <v>64.766339999999985</v>
      </c>
      <c r="N11" s="845">
        <f>(G11*35*30*0.000001)</f>
        <v>9.405899999999999</v>
      </c>
      <c r="O11" s="845">
        <f>(G11*35*30*0.000001)</f>
        <v>9.405899999999999</v>
      </c>
      <c r="P11" s="845">
        <f t="shared" ref="P11:P22" si="4">(G11*171*30*0.000001)</f>
        <v>45.954539999999994</v>
      </c>
      <c r="Q11" s="845"/>
      <c r="R11" s="845"/>
      <c r="S11" s="862">
        <v>3726.1</v>
      </c>
      <c r="T11" s="197">
        <f t="shared" ref="T11:T23" si="5">I11*10*S11/1000000</f>
        <v>12.0662929737</v>
      </c>
    </row>
    <row r="12" spans="1:22" ht="24.95" customHeight="1" x14ac:dyDescent="0.2">
      <c r="A12" s="188">
        <v>3</v>
      </c>
      <c r="B12" s="358" t="s">
        <v>388</v>
      </c>
      <c r="C12" s="488">
        <v>13347</v>
      </c>
      <c r="D12" s="488">
        <v>786</v>
      </c>
      <c r="E12" s="488">
        <v>0</v>
      </c>
      <c r="F12" s="488">
        <v>0</v>
      </c>
      <c r="G12" s="488">
        <f t="shared" si="0"/>
        <v>14133</v>
      </c>
      <c r="H12" s="490">
        <v>241</v>
      </c>
      <c r="I12" s="344">
        <f t="shared" si="1"/>
        <v>510.90795000000003</v>
      </c>
      <c r="J12" s="344">
        <f t="shared" si="2"/>
        <v>510.90795000000003</v>
      </c>
      <c r="K12" s="199">
        <v>0</v>
      </c>
      <c r="L12" s="199"/>
      <c r="M12" s="845">
        <f t="shared" si="3"/>
        <v>102.18159</v>
      </c>
      <c r="N12" s="845">
        <f t="shared" ref="N12:N22" si="6">(G12*35*30*0.000001)</f>
        <v>14.839649999999999</v>
      </c>
      <c r="O12" s="845">
        <f t="shared" ref="O12:O22" si="7">(G12*35*30*0.000001)</f>
        <v>14.839649999999999</v>
      </c>
      <c r="P12" s="845">
        <f t="shared" si="4"/>
        <v>72.502290000000002</v>
      </c>
      <c r="Q12" s="845"/>
      <c r="R12" s="845"/>
      <c r="S12" s="862">
        <v>3214.8</v>
      </c>
      <c r="T12" s="197">
        <f t="shared" si="5"/>
        <v>16.424668776600001</v>
      </c>
    </row>
    <row r="13" spans="1:22" ht="24.95" customHeight="1" x14ac:dyDescent="0.2">
      <c r="A13" s="188">
        <v>4</v>
      </c>
      <c r="B13" s="358" t="s">
        <v>389</v>
      </c>
      <c r="C13" s="488">
        <v>7890</v>
      </c>
      <c r="D13" s="488">
        <v>694</v>
      </c>
      <c r="E13" s="488">
        <v>0</v>
      </c>
      <c r="F13" s="488">
        <v>0</v>
      </c>
      <c r="G13" s="488">
        <f t="shared" si="0"/>
        <v>8584</v>
      </c>
      <c r="H13" s="490">
        <v>241</v>
      </c>
      <c r="I13" s="344">
        <f t="shared" si="1"/>
        <v>310.3116</v>
      </c>
      <c r="J13" s="344">
        <f t="shared" si="2"/>
        <v>310.3116</v>
      </c>
      <c r="K13" s="199">
        <v>0</v>
      </c>
      <c r="L13" s="199"/>
      <c r="M13" s="845">
        <f t="shared" si="3"/>
        <v>62.06232</v>
      </c>
      <c r="N13" s="845">
        <f t="shared" si="6"/>
        <v>9.0131999999999994</v>
      </c>
      <c r="O13" s="845">
        <f t="shared" si="7"/>
        <v>9.0131999999999994</v>
      </c>
      <c r="P13" s="845">
        <f t="shared" si="4"/>
        <v>44.035919999999997</v>
      </c>
      <c r="Q13" s="845"/>
      <c r="R13" s="845"/>
      <c r="S13" s="862">
        <v>2227.1</v>
      </c>
      <c r="T13" s="197">
        <f t="shared" si="5"/>
        <v>6.9109496436000004</v>
      </c>
    </row>
    <row r="14" spans="1:22" ht="24.95" customHeight="1" x14ac:dyDescent="0.2">
      <c r="A14" s="188">
        <v>5</v>
      </c>
      <c r="B14" s="359" t="s">
        <v>390</v>
      </c>
      <c r="C14" s="488">
        <v>18070</v>
      </c>
      <c r="D14" s="488">
        <v>7077</v>
      </c>
      <c r="E14" s="488">
        <v>0</v>
      </c>
      <c r="F14" s="488">
        <v>166</v>
      </c>
      <c r="G14" s="488">
        <f t="shared" si="0"/>
        <v>25313</v>
      </c>
      <c r="H14" s="490">
        <v>241</v>
      </c>
      <c r="I14" s="344">
        <f t="shared" si="1"/>
        <v>915.06494999999995</v>
      </c>
      <c r="J14" s="344">
        <f t="shared" si="2"/>
        <v>915.06494999999995</v>
      </c>
      <c r="K14" s="199">
        <v>0</v>
      </c>
      <c r="L14" s="199"/>
      <c r="M14" s="845">
        <f t="shared" si="3"/>
        <v>183.01298999999997</v>
      </c>
      <c r="N14" s="845">
        <f t="shared" si="6"/>
        <v>26.57865</v>
      </c>
      <c r="O14" s="845">
        <f t="shared" si="7"/>
        <v>26.57865</v>
      </c>
      <c r="P14" s="845">
        <f t="shared" si="4"/>
        <v>129.85568999999998</v>
      </c>
      <c r="Q14" s="845"/>
      <c r="R14" s="845"/>
      <c r="S14" s="862">
        <v>1273.2</v>
      </c>
      <c r="T14" s="197">
        <f t="shared" si="5"/>
        <v>11.6506069434</v>
      </c>
    </row>
    <row r="15" spans="1:22" ht="24.95" customHeight="1" x14ac:dyDescent="0.2">
      <c r="A15" s="188">
        <v>6</v>
      </c>
      <c r="B15" s="358" t="s">
        <v>391</v>
      </c>
      <c r="C15" s="488">
        <v>21199</v>
      </c>
      <c r="D15" s="488">
        <v>10916</v>
      </c>
      <c r="E15" s="488">
        <v>0</v>
      </c>
      <c r="F15" s="488">
        <v>1921</v>
      </c>
      <c r="G15" s="488">
        <f t="shared" si="0"/>
        <v>34036</v>
      </c>
      <c r="H15" s="490">
        <v>241</v>
      </c>
      <c r="I15" s="344">
        <f>J15+K15</f>
        <v>1230.4014</v>
      </c>
      <c r="J15" s="344">
        <f>G15*H15*150/1000000</f>
        <v>1230.4014</v>
      </c>
      <c r="K15" s="199">
        <v>0</v>
      </c>
      <c r="L15" s="199"/>
      <c r="M15" s="845">
        <f t="shared" si="3"/>
        <v>246.08028000000002</v>
      </c>
      <c r="N15" s="845">
        <f t="shared" si="6"/>
        <v>35.7378</v>
      </c>
      <c r="O15" s="845">
        <f t="shared" si="7"/>
        <v>35.7378</v>
      </c>
      <c r="P15" s="845">
        <f t="shared" si="4"/>
        <v>174.60468</v>
      </c>
      <c r="Q15" s="845"/>
      <c r="R15" s="845"/>
      <c r="S15" s="862">
        <v>766.8</v>
      </c>
      <c r="T15" s="197">
        <f t="shared" si="5"/>
        <v>9.4347179351999984</v>
      </c>
    </row>
    <row r="16" spans="1:22" ht="24.95" customHeight="1" x14ac:dyDescent="0.2">
      <c r="A16" s="188">
        <v>7</v>
      </c>
      <c r="B16" s="359" t="s">
        <v>392</v>
      </c>
      <c r="C16" s="488">
        <v>20610</v>
      </c>
      <c r="D16" s="488">
        <v>3817</v>
      </c>
      <c r="E16" s="488">
        <v>0</v>
      </c>
      <c r="F16" s="488">
        <v>28</v>
      </c>
      <c r="G16" s="488">
        <f t="shared" si="0"/>
        <v>24455</v>
      </c>
      <c r="H16" s="490">
        <v>241</v>
      </c>
      <c r="I16" s="344">
        <f t="shared" si="1"/>
        <v>884.04825000000005</v>
      </c>
      <c r="J16" s="344">
        <f>G16*H16*150/1000000</f>
        <v>884.04825000000005</v>
      </c>
      <c r="K16" s="199">
        <v>0</v>
      </c>
      <c r="L16" s="199"/>
      <c r="M16" s="845">
        <f t="shared" si="3"/>
        <v>176.80965</v>
      </c>
      <c r="N16" s="845">
        <f t="shared" si="6"/>
        <v>25.67775</v>
      </c>
      <c r="O16" s="845">
        <f t="shared" si="7"/>
        <v>25.67775</v>
      </c>
      <c r="P16" s="845">
        <f t="shared" si="4"/>
        <v>125.45415</v>
      </c>
      <c r="Q16" s="845"/>
      <c r="R16" s="845"/>
      <c r="S16" s="862">
        <v>1840</v>
      </c>
      <c r="T16" s="197">
        <f t="shared" si="5"/>
        <v>16.2664878</v>
      </c>
    </row>
    <row r="17" spans="1:20" ht="24.95" customHeight="1" x14ac:dyDescent="0.2">
      <c r="A17" s="188">
        <v>8</v>
      </c>
      <c r="B17" s="358" t="s">
        <v>393</v>
      </c>
      <c r="C17" s="488">
        <v>15816</v>
      </c>
      <c r="D17" s="488">
        <v>3323</v>
      </c>
      <c r="E17" s="488">
        <v>0</v>
      </c>
      <c r="F17" s="488">
        <v>0</v>
      </c>
      <c r="G17" s="488">
        <f t="shared" si="0"/>
        <v>19139</v>
      </c>
      <c r="H17" s="490">
        <v>241</v>
      </c>
      <c r="I17" s="344">
        <f t="shared" si="1"/>
        <v>691.87485000000004</v>
      </c>
      <c r="J17" s="344">
        <f t="shared" si="2"/>
        <v>691.87485000000004</v>
      </c>
      <c r="K17" s="199">
        <v>0</v>
      </c>
      <c r="L17" s="199"/>
      <c r="M17" s="845">
        <f t="shared" si="3"/>
        <v>138.37496999999999</v>
      </c>
      <c r="N17" s="845">
        <f t="shared" si="6"/>
        <v>20.095949999999998</v>
      </c>
      <c r="O17" s="845">
        <f t="shared" si="7"/>
        <v>20.095949999999998</v>
      </c>
      <c r="P17" s="845">
        <f t="shared" si="4"/>
        <v>98.183070000000001</v>
      </c>
      <c r="Q17" s="845"/>
      <c r="R17" s="845"/>
      <c r="S17" s="862">
        <v>2223.5</v>
      </c>
      <c r="T17" s="197">
        <f t="shared" si="5"/>
        <v>15.38383728975</v>
      </c>
    </row>
    <row r="18" spans="1:20" ht="24.95" customHeight="1" x14ac:dyDescent="0.2">
      <c r="A18" s="188">
        <v>9</v>
      </c>
      <c r="B18" s="358" t="s">
        <v>394</v>
      </c>
      <c r="C18" s="488">
        <v>13900</v>
      </c>
      <c r="D18" s="488">
        <v>375</v>
      </c>
      <c r="E18" s="488">
        <v>0</v>
      </c>
      <c r="F18" s="488">
        <v>0</v>
      </c>
      <c r="G18" s="488">
        <f t="shared" si="0"/>
        <v>14275</v>
      </c>
      <c r="H18" s="490">
        <v>241</v>
      </c>
      <c r="I18" s="344">
        <f t="shared" si="1"/>
        <v>516.04124999999999</v>
      </c>
      <c r="J18" s="344">
        <f t="shared" si="2"/>
        <v>516.04124999999999</v>
      </c>
      <c r="K18" s="199">
        <v>0</v>
      </c>
      <c r="L18" s="199"/>
      <c r="M18" s="845">
        <f t="shared" si="3"/>
        <v>103.20824999999999</v>
      </c>
      <c r="N18" s="845">
        <f t="shared" si="6"/>
        <v>14.98875</v>
      </c>
      <c r="O18" s="845">
        <f t="shared" si="7"/>
        <v>14.98875</v>
      </c>
      <c r="P18" s="845">
        <f t="shared" si="4"/>
        <v>73.23075</v>
      </c>
      <c r="Q18" s="845"/>
      <c r="R18" s="845"/>
      <c r="S18" s="862">
        <v>1985.6</v>
      </c>
      <c r="T18" s="197">
        <f t="shared" si="5"/>
        <v>10.24651506</v>
      </c>
    </row>
    <row r="19" spans="1:20" ht="24.95" customHeight="1" x14ac:dyDescent="0.2">
      <c r="A19" s="188">
        <v>10</v>
      </c>
      <c r="B19" s="358" t="s">
        <v>395</v>
      </c>
      <c r="C19" s="488">
        <v>8166</v>
      </c>
      <c r="D19" s="488">
        <v>1753</v>
      </c>
      <c r="E19" s="488">
        <v>0</v>
      </c>
      <c r="F19" s="488">
        <v>0</v>
      </c>
      <c r="G19" s="488">
        <f t="shared" si="0"/>
        <v>9919</v>
      </c>
      <c r="H19" s="490">
        <v>241</v>
      </c>
      <c r="I19" s="344">
        <f t="shared" si="1"/>
        <v>358.57184999999998</v>
      </c>
      <c r="J19" s="344">
        <f t="shared" si="2"/>
        <v>358.57184999999998</v>
      </c>
      <c r="K19" s="199">
        <v>0</v>
      </c>
      <c r="L19" s="199"/>
      <c r="M19" s="845">
        <f t="shared" si="3"/>
        <v>71.714370000000002</v>
      </c>
      <c r="N19" s="845">
        <f t="shared" si="6"/>
        <v>10.414949999999999</v>
      </c>
      <c r="O19" s="845">
        <f t="shared" si="7"/>
        <v>10.414949999999999</v>
      </c>
      <c r="P19" s="845">
        <f t="shared" si="4"/>
        <v>50.88447</v>
      </c>
      <c r="Q19" s="845"/>
      <c r="R19" s="845"/>
      <c r="S19" s="862">
        <v>2740</v>
      </c>
      <c r="T19" s="197">
        <f t="shared" si="5"/>
        <v>9.8248686899999988</v>
      </c>
    </row>
    <row r="20" spans="1:20" ht="24.95" customHeight="1" x14ac:dyDescent="0.2">
      <c r="A20" s="188">
        <v>11</v>
      </c>
      <c r="B20" s="358" t="s">
        <v>396</v>
      </c>
      <c r="C20" s="488">
        <v>20299</v>
      </c>
      <c r="D20" s="488">
        <v>2193</v>
      </c>
      <c r="E20" s="488">
        <v>0</v>
      </c>
      <c r="F20" s="488">
        <v>0</v>
      </c>
      <c r="G20" s="488">
        <f t="shared" si="0"/>
        <v>22492</v>
      </c>
      <c r="H20" s="490">
        <v>241</v>
      </c>
      <c r="I20" s="344">
        <f t="shared" si="1"/>
        <v>813.08579999999995</v>
      </c>
      <c r="J20" s="344">
        <f t="shared" si="2"/>
        <v>813.08579999999995</v>
      </c>
      <c r="K20" s="199">
        <v>0</v>
      </c>
      <c r="L20" s="199"/>
      <c r="M20" s="845">
        <f t="shared" si="3"/>
        <v>162.61716000000001</v>
      </c>
      <c r="N20" s="845">
        <f>(G20*35*30*0.000001)</f>
        <v>23.616599999999998</v>
      </c>
      <c r="O20" s="845">
        <f t="shared" si="7"/>
        <v>23.616599999999998</v>
      </c>
      <c r="P20" s="845">
        <f t="shared" si="4"/>
        <v>115.38396</v>
      </c>
      <c r="Q20" s="845"/>
      <c r="R20" s="845"/>
      <c r="S20" s="862">
        <v>3907.8</v>
      </c>
      <c r="T20" s="197">
        <f t="shared" si="5"/>
        <v>31.773766892400001</v>
      </c>
    </row>
    <row r="21" spans="1:20" ht="24.95" customHeight="1" x14ac:dyDescent="0.2">
      <c r="A21" s="188">
        <v>12</v>
      </c>
      <c r="B21" s="358" t="s">
        <v>397</v>
      </c>
      <c r="C21" s="488">
        <v>24935</v>
      </c>
      <c r="D21" s="488">
        <v>8933</v>
      </c>
      <c r="E21" s="488">
        <v>0</v>
      </c>
      <c r="F21" s="488">
        <v>2166</v>
      </c>
      <c r="G21" s="488">
        <f t="shared" si="0"/>
        <v>36034</v>
      </c>
      <c r="H21" s="490">
        <v>241</v>
      </c>
      <c r="I21" s="344">
        <f t="shared" si="1"/>
        <v>1302.6291000000001</v>
      </c>
      <c r="J21" s="344">
        <f t="shared" si="2"/>
        <v>1302.6291000000001</v>
      </c>
      <c r="K21" s="199">
        <v>0</v>
      </c>
      <c r="L21" s="199"/>
      <c r="M21" s="845">
        <f t="shared" si="3"/>
        <v>260.52582000000001</v>
      </c>
      <c r="N21" s="845">
        <f t="shared" si="6"/>
        <v>37.835699999999996</v>
      </c>
      <c r="O21" s="845">
        <f t="shared" si="7"/>
        <v>37.835699999999996</v>
      </c>
      <c r="P21" s="845">
        <f t="shared" si="4"/>
        <v>184.85442</v>
      </c>
      <c r="Q21" s="845"/>
      <c r="R21" s="845"/>
      <c r="S21" s="862">
        <v>421</v>
      </c>
      <c r="T21" s="197">
        <f t="shared" si="5"/>
        <v>5.4840685110000011</v>
      </c>
    </row>
    <row r="22" spans="1:20" ht="24.95" customHeight="1" x14ac:dyDescent="0.2">
      <c r="A22" s="188">
        <v>13</v>
      </c>
      <c r="B22" s="358" t="s">
        <v>398</v>
      </c>
      <c r="C22" s="488">
        <v>11389</v>
      </c>
      <c r="D22" s="488">
        <v>166</v>
      </c>
      <c r="E22" s="488">
        <v>0</v>
      </c>
      <c r="F22" s="488">
        <v>0</v>
      </c>
      <c r="G22" s="488">
        <f t="shared" si="0"/>
        <v>11555</v>
      </c>
      <c r="H22" s="490">
        <v>241</v>
      </c>
      <c r="I22" s="344">
        <f t="shared" si="1"/>
        <v>417.71325000000002</v>
      </c>
      <c r="J22" s="344">
        <f t="shared" si="2"/>
        <v>417.71325000000002</v>
      </c>
      <c r="K22" s="199">
        <v>0</v>
      </c>
      <c r="L22" s="199"/>
      <c r="M22" s="845">
        <f t="shared" si="3"/>
        <v>83.542649999999995</v>
      </c>
      <c r="N22" s="845">
        <f t="shared" si="6"/>
        <v>12.13275</v>
      </c>
      <c r="O22" s="845">
        <f t="shared" si="7"/>
        <v>12.13275</v>
      </c>
      <c r="P22" s="845">
        <f t="shared" si="4"/>
        <v>59.277149999999999</v>
      </c>
      <c r="Q22" s="845"/>
      <c r="R22" s="845"/>
      <c r="S22" s="862">
        <v>6135.6</v>
      </c>
      <c r="T22" s="197">
        <f t="shared" si="5"/>
        <v>25.629214167000001</v>
      </c>
    </row>
    <row r="23" spans="1:20" s="11" customFormat="1" ht="24.95" customHeight="1" x14ac:dyDescent="0.2">
      <c r="A23" s="188" t="s">
        <v>18</v>
      </c>
      <c r="B23" s="188"/>
      <c r="C23" s="491">
        <f>SUM(C10:C22)</f>
        <v>200473</v>
      </c>
      <c r="D23" s="491">
        <f t="shared" ref="D23:G23" si="8">SUM(D10:D22)</f>
        <v>43228</v>
      </c>
      <c r="E23" s="491">
        <f t="shared" si="8"/>
        <v>0</v>
      </c>
      <c r="F23" s="491">
        <f t="shared" si="8"/>
        <v>4281</v>
      </c>
      <c r="G23" s="491">
        <f t="shared" si="8"/>
        <v>247982</v>
      </c>
      <c r="H23" s="479"/>
      <c r="I23" s="345">
        <f>SUM(I10:I22)</f>
        <v>8964.5493000000006</v>
      </c>
      <c r="J23" s="345">
        <f>SUM(J10:J22)</f>
        <v>8964.5493000000006</v>
      </c>
      <c r="K23" s="191"/>
      <c r="L23" s="191"/>
      <c r="M23" s="846">
        <f>SUM(M10:M22)</f>
        <v>1792.90986</v>
      </c>
      <c r="N23" s="846">
        <f t="shared" ref="N23:P23" si="9">SUM(N10:N22)</f>
        <v>260.3811</v>
      </c>
      <c r="O23" s="846">
        <f t="shared" si="9"/>
        <v>260.3811</v>
      </c>
      <c r="P23" s="846">
        <f t="shared" si="9"/>
        <v>1272.1476600000001</v>
      </c>
      <c r="Q23" s="846"/>
      <c r="R23" s="846"/>
      <c r="S23" s="863">
        <f>AVERAGE(S10:S22)</f>
        <v>2516.4923076923078</v>
      </c>
      <c r="T23" s="198">
        <f t="shared" si="5"/>
        <v>225.59219355378463</v>
      </c>
    </row>
    <row r="24" spans="1:20" x14ac:dyDescent="0.2">
      <c r="A24" s="16"/>
      <c r="B24" s="16"/>
      <c r="C24" s="16"/>
      <c r="D24" s="16"/>
      <c r="E24" s="16"/>
      <c r="F24" s="16"/>
      <c r="G24" s="16"/>
      <c r="H24" s="16"/>
    </row>
    <row r="25" spans="1:20" x14ac:dyDescent="0.2">
      <c r="A25" s="347" t="s">
        <v>7</v>
      </c>
      <c r="B25" s="348"/>
      <c r="C25" s="348"/>
      <c r="D25" s="349"/>
      <c r="E25" s="349"/>
      <c r="F25" s="349"/>
      <c r="G25" s="349"/>
      <c r="H25" s="349"/>
      <c r="I25" s="350"/>
      <c r="J25" s="350"/>
      <c r="K25" s="350"/>
      <c r="L25" s="350"/>
      <c r="M25" s="350"/>
      <c r="N25" s="350"/>
      <c r="O25" s="350"/>
      <c r="P25" s="350"/>
      <c r="Q25" s="350"/>
      <c r="R25" s="350"/>
    </row>
    <row r="26" spans="1:20" ht="12" customHeight="1" x14ac:dyDescent="0.2">
      <c r="A26" s="351" t="s">
        <v>8</v>
      </c>
      <c r="B26" s="351"/>
      <c r="C26" s="351"/>
      <c r="D26" s="350"/>
      <c r="E26" s="350"/>
      <c r="F26" s="350"/>
      <c r="G26" s="350"/>
      <c r="H26" s="350"/>
      <c r="I26" s="350"/>
      <c r="J26" s="350"/>
      <c r="K26" s="350"/>
      <c r="L26" s="350"/>
      <c r="M26" s="350"/>
      <c r="N26" s="350"/>
      <c r="O26" s="350"/>
      <c r="P26" s="350"/>
      <c r="Q26" s="350"/>
      <c r="R26" s="350"/>
    </row>
    <row r="27" spans="1:20" x14ac:dyDescent="0.2">
      <c r="A27" s="351" t="s">
        <v>9</v>
      </c>
      <c r="B27" s="351"/>
      <c r="C27" s="351"/>
      <c r="D27" s="350"/>
      <c r="E27" s="350"/>
      <c r="F27" s="350"/>
      <c r="G27" s="350"/>
      <c r="H27" s="350"/>
      <c r="I27" s="350"/>
      <c r="J27" s="350"/>
      <c r="K27" s="350"/>
      <c r="L27" s="350"/>
      <c r="M27" s="350"/>
      <c r="N27" s="350"/>
      <c r="O27" s="350"/>
      <c r="P27" s="350"/>
      <c r="Q27" s="350"/>
      <c r="R27" s="350"/>
    </row>
    <row r="28" spans="1:20" x14ac:dyDescent="0.2">
      <c r="A28" s="1474" t="s">
        <v>233</v>
      </c>
      <c r="B28" s="1474"/>
      <c r="C28" s="1474"/>
      <c r="D28" s="1474"/>
      <c r="E28" s="350"/>
      <c r="F28" s="350"/>
      <c r="G28" s="350"/>
      <c r="H28" s="350"/>
      <c r="I28" s="350"/>
      <c r="J28" s="350"/>
      <c r="K28" s="350"/>
      <c r="L28" s="349"/>
      <c r="M28" s="352"/>
      <c r="N28" s="352"/>
      <c r="O28" s="352"/>
      <c r="P28" s="352"/>
      <c r="Q28" s="352"/>
      <c r="R28" s="352"/>
    </row>
    <row r="29" spans="1:20" x14ac:dyDescent="0.2">
      <c r="A29" s="347"/>
      <c r="B29" s="351"/>
      <c r="C29" s="351"/>
      <c r="D29" s="350"/>
      <c r="E29" s="350"/>
      <c r="F29" s="350"/>
      <c r="G29" s="350"/>
      <c r="H29" s="350"/>
      <c r="I29" s="350"/>
      <c r="J29" s="350"/>
      <c r="K29" s="350"/>
      <c r="L29" s="350"/>
      <c r="M29" s="350"/>
      <c r="N29" s="350"/>
      <c r="O29" s="350"/>
      <c r="P29" s="350"/>
      <c r="Q29" s="350"/>
      <c r="R29" s="350"/>
    </row>
    <row r="30" spans="1:20" x14ac:dyDescent="0.2">
      <c r="A30" s="347"/>
      <c r="B30" s="1474"/>
      <c r="C30" s="1474"/>
      <c r="D30" s="1474"/>
      <c r="E30" s="1474"/>
      <c r="F30" s="353"/>
      <c r="G30" s="350"/>
      <c r="H30" s="350"/>
      <c r="I30" s="350"/>
      <c r="J30" s="350"/>
      <c r="K30" s="350"/>
      <c r="L30" s="350"/>
      <c r="M30" s="350"/>
      <c r="N30" s="350"/>
      <c r="O30" s="350"/>
      <c r="P30" s="350"/>
      <c r="Q30" s="350"/>
      <c r="R30" s="350"/>
    </row>
    <row r="31" spans="1:20" x14ac:dyDescent="0.2">
      <c r="A31" s="351"/>
      <c r="B31" s="1474"/>
      <c r="C31" s="1474"/>
      <c r="D31" s="1474"/>
      <c r="E31" s="1474"/>
      <c r="F31" s="353"/>
      <c r="G31" s="350"/>
      <c r="H31" s="350"/>
      <c r="I31" s="350"/>
      <c r="J31" s="350"/>
      <c r="K31" s="350"/>
      <c r="L31" s="350"/>
      <c r="M31" s="350"/>
      <c r="N31" s="350"/>
      <c r="O31" s="350"/>
      <c r="P31" s="350"/>
      <c r="Q31" s="350"/>
      <c r="R31" s="350"/>
    </row>
    <row r="32" spans="1:20" x14ac:dyDescent="0.2">
      <c r="A32" s="351"/>
      <c r="B32" s="1474"/>
      <c r="C32" s="1474"/>
      <c r="D32" s="1474"/>
      <c r="E32" s="1474"/>
      <c r="F32" s="1474"/>
      <c r="G32" s="1474"/>
      <c r="H32" s="1474"/>
      <c r="I32" s="1474"/>
      <c r="J32" s="1474"/>
      <c r="K32" s="1474"/>
      <c r="L32" s="1474"/>
      <c r="M32" s="1474"/>
      <c r="N32" s="1474"/>
      <c r="O32" s="1474"/>
      <c r="P32" s="1474"/>
      <c r="Q32" s="1474"/>
      <c r="R32" s="1474"/>
    </row>
    <row r="33" spans="1:18" x14ac:dyDescent="0.2">
      <c r="A33" s="351"/>
      <c r="B33" s="351"/>
      <c r="C33" s="351"/>
      <c r="D33" s="350"/>
      <c r="E33" s="350"/>
      <c r="F33" s="350"/>
      <c r="G33" s="350"/>
      <c r="H33" s="350"/>
      <c r="I33" s="350"/>
      <c r="J33" s="350"/>
      <c r="K33" s="350"/>
      <c r="L33" s="350"/>
      <c r="M33" s="350"/>
      <c r="N33" s="350"/>
      <c r="O33" s="350"/>
      <c r="P33" s="350"/>
      <c r="Q33" s="350"/>
      <c r="R33" s="350"/>
    </row>
    <row r="34" spans="1:18" x14ac:dyDescent="0.2">
      <c r="A34" s="351"/>
      <c r="B34" s="351"/>
      <c r="C34" s="351"/>
      <c r="D34" s="350"/>
      <c r="E34" s="350"/>
      <c r="F34" s="350"/>
      <c r="G34" s="350"/>
      <c r="H34" s="350"/>
      <c r="I34" s="350"/>
      <c r="J34" s="350"/>
      <c r="K34" s="350"/>
      <c r="L34" s="350"/>
      <c r="M34" s="350"/>
      <c r="N34" s="350"/>
      <c r="O34" s="350"/>
      <c r="P34" s="350"/>
      <c r="Q34" s="350"/>
      <c r="R34" s="350"/>
    </row>
    <row r="35" spans="1:18" x14ac:dyDescent="0.2">
      <c r="A35" s="11"/>
      <c r="B35" s="21"/>
      <c r="C35" s="21"/>
      <c r="D35" s="21"/>
      <c r="E35" s="21"/>
      <c r="F35" s="21"/>
    </row>
    <row r="36" spans="1:18" ht="15" customHeight="1" x14ac:dyDescent="0.2">
      <c r="A36" s="11"/>
      <c r="B36" s="21"/>
      <c r="C36" s="21"/>
      <c r="D36" s="21"/>
      <c r="E36" s="21"/>
      <c r="F36" s="21"/>
    </row>
    <row r="37" spans="1:18" s="38" customFormat="1" ht="15" customHeight="1" x14ac:dyDescent="0.25">
      <c r="A37" s="39" t="s">
        <v>11</v>
      </c>
      <c r="H37" s="39"/>
      <c r="J37" s="39"/>
      <c r="K37" s="39"/>
      <c r="L37" s="39"/>
      <c r="M37" s="39"/>
      <c r="N37" s="39"/>
      <c r="O37" s="39"/>
      <c r="P37" s="39"/>
      <c r="Q37" s="39"/>
      <c r="R37" s="39"/>
    </row>
    <row r="38" spans="1:18" s="38" customFormat="1" ht="15" customHeight="1" x14ac:dyDescent="0.25">
      <c r="I38" s="39"/>
      <c r="J38" s="1479" t="s">
        <v>13</v>
      </c>
      <c r="K38" s="1479"/>
      <c r="L38" s="1479"/>
      <c r="M38" s="1479"/>
      <c r="N38" s="1479"/>
      <c r="O38" s="1479"/>
      <c r="P38" s="1479"/>
      <c r="Q38" s="1479"/>
      <c r="R38" s="1479"/>
    </row>
    <row r="39" spans="1:18" s="38" customFormat="1" ht="15" customHeight="1" x14ac:dyDescent="0.25">
      <c r="I39" s="1479" t="s">
        <v>87</v>
      </c>
      <c r="J39" s="1479"/>
      <c r="K39" s="1479"/>
      <c r="L39" s="1479"/>
      <c r="M39" s="1479"/>
      <c r="N39" s="1479"/>
      <c r="O39" s="1479"/>
      <c r="P39" s="1479"/>
      <c r="Q39" s="1479"/>
      <c r="R39" s="1479"/>
    </row>
    <row r="40" spans="1:18" s="38" customFormat="1" ht="15" customHeight="1" x14ac:dyDescent="0.25">
      <c r="A40" s="39"/>
      <c r="B40" s="39"/>
      <c r="J40" s="39"/>
      <c r="K40" s="39"/>
      <c r="L40" s="39"/>
      <c r="M40" s="39"/>
      <c r="N40" s="39"/>
      <c r="O40" s="39"/>
      <c r="P40" s="39"/>
      <c r="Q40" s="39"/>
      <c r="R40" s="39" t="s">
        <v>84</v>
      </c>
    </row>
    <row r="41" spans="1:18" x14ac:dyDescent="0.2">
      <c r="C41" s="196"/>
      <c r="D41" s="196"/>
      <c r="E41" s="196"/>
      <c r="F41" s="196"/>
      <c r="G41" s="196"/>
      <c r="H41" s="139"/>
      <c r="I41" s="139"/>
      <c r="J41" s="139"/>
      <c r="K41" s="139"/>
      <c r="L41" s="139"/>
      <c r="M41" s="139"/>
      <c r="N41" s="139"/>
      <c r="O41" s="139"/>
      <c r="P41" s="139"/>
      <c r="Q41" s="139"/>
      <c r="R41" s="139"/>
    </row>
    <row r="42" spans="1:18" x14ac:dyDescent="0.2">
      <c r="A42" s="1157"/>
      <c r="B42" s="1157"/>
      <c r="C42" s="1157"/>
      <c r="D42" s="1157"/>
      <c r="E42" s="1157"/>
      <c r="F42" s="1157"/>
      <c r="G42" s="1157"/>
      <c r="H42" s="1157"/>
      <c r="I42" s="1157"/>
      <c r="J42" s="1157"/>
      <c r="K42" s="1157"/>
      <c r="L42" s="1157"/>
      <c r="M42" s="1157"/>
      <c r="N42" s="1157"/>
      <c r="O42" s="1157"/>
      <c r="P42" s="1157"/>
      <c r="Q42" s="1157"/>
      <c r="R42" s="1157"/>
    </row>
  </sheetData>
  <mergeCells count="21">
    <mergeCell ref="A28:D28"/>
    <mergeCell ref="B30:E30"/>
    <mergeCell ref="A42:R42"/>
    <mergeCell ref="J38:R38"/>
    <mergeCell ref="I39:R39"/>
    <mergeCell ref="B31:E31"/>
    <mergeCell ref="B32:R32"/>
    <mergeCell ref="G2:I2"/>
    <mergeCell ref="A7:A8"/>
    <mergeCell ref="B7:B8"/>
    <mergeCell ref="S2:T2"/>
    <mergeCell ref="H7:H8"/>
    <mergeCell ref="K6:R6"/>
    <mergeCell ref="C7:G7"/>
    <mergeCell ref="A6:C6"/>
    <mergeCell ref="I7:L7"/>
    <mergeCell ref="M7:R7"/>
    <mergeCell ref="S7:T7"/>
    <mergeCell ref="A4:T4"/>
    <mergeCell ref="A3:T3"/>
    <mergeCell ref="A5:T5"/>
  </mergeCells>
  <phoneticPr fontId="0" type="noConversion"/>
  <printOptions horizontalCentered="1"/>
  <pageMargins left="0.51" right="0.36" top="0.35" bottom="0" header="0.25" footer="0.31496062992125984"/>
  <pageSetup paperSize="9"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39997558519241921"/>
    <pageSetUpPr fitToPage="1"/>
  </sheetPr>
  <dimension ref="A1:Z34"/>
  <sheetViews>
    <sheetView view="pageBreakPreview" topLeftCell="A12" zoomScale="80" zoomScaleSheetLayoutView="80" workbookViewId="0">
      <selection activeCell="O16" sqref="O16:V22"/>
    </sheetView>
  </sheetViews>
  <sheetFormatPr defaultRowHeight="12.75" x14ac:dyDescent="0.2"/>
  <cols>
    <col min="1" max="1" width="7.28515625" style="105" customWidth="1"/>
    <col min="2" max="2" width="26" style="105" customWidth="1"/>
    <col min="3" max="3" width="9.85546875" style="105" customWidth="1"/>
    <col min="4" max="4" width="9.7109375" style="105" customWidth="1"/>
    <col min="5" max="5" width="9.140625" style="105" customWidth="1"/>
    <col min="6" max="6" width="16" style="105" customWidth="1"/>
    <col min="7" max="9" width="10.7109375" style="105" customWidth="1"/>
    <col min="10" max="10" width="12.7109375" style="105" bestFit="1" customWidth="1"/>
    <col min="11" max="12" width="9.28515625" style="105" bestFit="1" customWidth="1"/>
    <col min="13" max="13" width="9.140625" style="105"/>
    <col min="14" max="14" width="13.140625" style="105" customWidth="1"/>
    <col min="15" max="18" width="9.140625" style="105"/>
    <col min="19" max="21" width="8.85546875" style="105" customWidth="1"/>
    <col min="22" max="16384" width="9.140625" style="105"/>
  </cols>
  <sheetData>
    <row r="1" spans="1:26" ht="15" x14ac:dyDescent="0.2">
      <c r="V1" s="106" t="s">
        <v>640</v>
      </c>
    </row>
    <row r="2" spans="1:26" ht="15.75" x14ac:dyDescent="0.25">
      <c r="A2" s="1119" t="s">
        <v>0</v>
      </c>
      <c r="B2" s="1119"/>
      <c r="C2" s="1119"/>
      <c r="D2" s="1119"/>
      <c r="E2" s="1119"/>
      <c r="F2" s="1119"/>
      <c r="G2" s="1119"/>
      <c r="H2" s="1119"/>
      <c r="I2" s="1119"/>
      <c r="J2" s="1119"/>
      <c r="K2" s="1119"/>
      <c r="L2" s="1119"/>
      <c r="M2" s="1119"/>
      <c r="N2" s="1119"/>
      <c r="O2" s="1119"/>
      <c r="P2" s="1119"/>
      <c r="Q2" s="1119"/>
      <c r="R2" s="1119"/>
      <c r="S2" s="1119"/>
      <c r="T2" s="1119"/>
      <c r="U2" s="1119"/>
      <c r="V2" s="1119"/>
    </row>
    <row r="3" spans="1:26" ht="20.25" x14ac:dyDescent="0.3">
      <c r="A3" s="1119" t="s">
        <v>788</v>
      </c>
      <c r="B3" s="1119"/>
      <c r="C3" s="1119"/>
      <c r="D3" s="1119"/>
      <c r="E3" s="1119"/>
      <c r="F3" s="1119"/>
      <c r="G3" s="1119"/>
      <c r="H3" s="1119"/>
      <c r="I3" s="1119"/>
      <c r="J3" s="1119"/>
      <c r="K3" s="1119"/>
      <c r="L3" s="1119"/>
      <c r="M3" s="1119"/>
      <c r="N3" s="1119"/>
      <c r="O3" s="1119"/>
      <c r="P3" s="1119"/>
      <c r="Q3" s="1119"/>
      <c r="R3" s="1119"/>
      <c r="S3" s="1119"/>
      <c r="T3" s="1119"/>
      <c r="U3" s="1119"/>
      <c r="V3" s="1119"/>
      <c r="W3" s="81"/>
      <c r="X3" s="81"/>
    </row>
    <row r="4" spans="1:26" ht="18" x14ac:dyDescent="0.25">
      <c r="A4" s="1120" t="s">
        <v>269</v>
      </c>
      <c r="B4" s="1120"/>
      <c r="C4" s="1120"/>
      <c r="D4" s="1120"/>
      <c r="E4" s="1120"/>
      <c r="F4" s="1120"/>
      <c r="G4" s="1120"/>
      <c r="H4" s="1120"/>
      <c r="I4" s="1120"/>
      <c r="J4" s="1120"/>
      <c r="K4" s="1120"/>
      <c r="L4" s="1120"/>
      <c r="M4" s="1120"/>
      <c r="N4" s="1120"/>
      <c r="O4" s="1120"/>
      <c r="P4" s="1120"/>
      <c r="Q4" s="1120"/>
      <c r="R4" s="1120"/>
      <c r="S4" s="1120"/>
      <c r="T4" s="1120"/>
      <c r="U4" s="1120"/>
      <c r="V4" s="1120"/>
    </row>
    <row r="5" spans="1:26" ht="18" customHeight="1" x14ac:dyDescent="0.2">
      <c r="A5" s="1121" t="s">
        <v>1058</v>
      </c>
      <c r="B5" s="1121"/>
      <c r="C5" s="1121"/>
      <c r="D5" s="1121"/>
      <c r="E5" s="1121"/>
      <c r="F5" s="1121"/>
      <c r="G5" s="1121"/>
      <c r="H5" s="1121"/>
      <c r="I5" s="1121"/>
      <c r="J5" s="1121"/>
      <c r="K5" s="1121"/>
      <c r="L5" s="1121"/>
      <c r="M5" s="1121"/>
      <c r="N5" s="1121"/>
      <c r="O5" s="1121"/>
      <c r="P5" s="1121"/>
      <c r="Q5" s="1121"/>
      <c r="R5" s="1121"/>
      <c r="S5" s="1121"/>
      <c r="T5" s="1121"/>
      <c r="U5" s="1121"/>
      <c r="V5" s="1121"/>
    </row>
    <row r="6" spans="1:26" ht="15.75" x14ac:dyDescent="0.25">
      <c r="T6" s="58"/>
      <c r="U6" s="1122" t="s">
        <v>276</v>
      </c>
      <c r="V6" s="1123"/>
    </row>
    <row r="7" spans="1:26" ht="15" x14ac:dyDescent="0.2">
      <c r="K7" s="57"/>
      <c r="L7" s="57"/>
      <c r="M7" s="57"/>
      <c r="N7" s="57"/>
      <c r="O7" s="57"/>
      <c r="P7" s="57"/>
      <c r="Q7" s="57"/>
      <c r="R7" s="57"/>
    </row>
    <row r="8" spans="1:26" ht="16.5" customHeight="1" x14ac:dyDescent="0.2">
      <c r="A8" s="1075" t="s">
        <v>456</v>
      </c>
      <c r="B8" s="1075"/>
      <c r="C8" s="1075"/>
      <c r="O8" s="1114" t="s">
        <v>1059</v>
      </c>
      <c r="P8" s="1114"/>
      <c r="Q8" s="1114"/>
      <c r="R8" s="1114"/>
      <c r="S8" s="1114"/>
      <c r="T8" s="1114"/>
      <c r="U8" s="1114"/>
      <c r="V8" s="1114"/>
    </row>
    <row r="9" spans="1:26" ht="36.75" customHeight="1" x14ac:dyDescent="0.2">
      <c r="A9" s="1118" t="s">
        <v>2</v>
      </c>
      <c r="B9" s="1118" t="s">
        <v>160</v>
      </c>
      <c r="C9" s="1118" t="s">
        <v>161</v>
      </c>
      <c r="D9" s="1118"/>
      <c r="E9" s="1118"/>
      <c r="F9" s="1118" t="s">
        <v>162</v>
      </c>
      <c r="G9" s="1118" t="s">
        <v>191</v>
      </c>
      <c r="H9" s="1118"/>
      <c r="I9" s="1118"/>
      <c r="J9" s="1118"/>
      <c r="K9" s="1118"/>
      <c r="L9" s="1118"/>
      <c r="M9" s="1118"/>
      <c r="N9" s="1118"/>
      <c r="O9" s="1118" t="s">
        <v>192</v>
      </c>
      <c r="P9" s="1118"/>
      <c r="Q9" s="1118"/>
      <c r="R9" s="1118"/>
      <c r="S9" s="1118"/>
      <c r="T9" s="1118"/>
      <c r="U9" s="1118"/>
      <c r="V9" s="1118"/>
    </row>
    <row r="10" spans="1:26" ht="24.75" customHeight="1" x14ac:dyDescent="0.2">
      <c r="A10" s="1118"/>
      <c r="B10" s="1118"/>
      <c r="C10" s="1118" t="s">
        <v>277</v>
      </c>
      <c r="D10" s="1118" t="s">
        <v>43</v>
      </c>
      <c r="E10" s="1118" t="s">
        <v>44</v>
      </c>
      <c r="F10" s="1118"/>
      <c r="G10" s="1118" t="s">
        <v>193</v>
      </c>
      <c r="H10" s="1118"/>
      <c r="I10" s="1118"/>
      <c r="J10" s="1118"/>
      <c r="K10" s="1118" t="s">
        <v>177</v>
      </c>
      <c r="L10" s="1118"/>
      <c r="M10" s="1118"/>
      <c r="N10" s="1118"/>
      <c r="O10" s="1118" t="s">
        <v>163</v>
      </c>
      <c r="P10" s="1118"/>
      <c r="Q10" s="1118"/>
      <c r="R10" s="1118"/>
      <c r="S10" s="1118" t="s">
        <v>176</v>
      </c>
      <c r="T10" s="1118"/>
      <c r="U10" s="1118"/>
      <c r="V10" s="1118"/>
    </row>
    <row r="11" spans="1:26" x14ac:dyDescent="0.2">
      <c r="A11" s="1118"/>
      <c r="B11" s="1118"/>
      <c r="C11" s="1118"/>
      <c r="D11" s="1118"/>
      <c r="E11" s="1118"/>
      <c r="F11" s="1118"/>
      <c r="G11" s="1099" t="s">
        <v>164</v>
      </c>
      <c r="H11" s="1100"/>
      <c r="I11" s="1101"/>
      <c r="J11" s="1115" t="s">
        <v>165</v>
      </c>
      <c r="K11" s="1099" t="s">
        <v>164</v>
      </c>
      <c r="L11" s="1100"/>
      <c r="M11" s="1101"/>
      <c r="N11" s="1115" t="s">
        <v>165</v>
      </c>
      <c r="O11" s="1099" t="s">
        <v>164</v>
      </c>
      <c r="P11" s="1100"/>
      <c r="Q11" s="1101"/>
      <c r="R11" s="1115" t="s">
        <v>165</v>
      </c>
      <c r="S11" s="1099" t="s">
        <v>164</v>
      </c>
      <c r="T11" s="1100"/>
      <c r="U11" s="1101"/>
      <c r="V11" s="1115" t="s">
        <v>165</v>
      </c>
    </row>
    <row r="12" spans="1:26" ht="15.75" customHeight="1" x14ac:dyDescent="0.2">
      <c r="A12" s="1118"/>
      <c r="B12" s="1118"/>
      <c r="C12" s="1118"/>
      <c r="D12" s="1118"/>
      <c r="E12" s="1118"/>
      <c r="F12" s="1118"/>
      <c r="G12" s="1105"/>
      <c r="H12" s="1106"/>
      <c r="I12" s="1107"/>
      <c r="J12" s="1116"/>
      <c r="K12" s="1105"/>
      <c r="L12" s="1106"/>
      <c r="M12" s="1107"/>
      <c r="N12" s="1116"/>
      <c r="O12" s="1105"/>
      <c r="P12" s="1106"/>
      <c r="Q12" s="1107"/>
      <c r="R12" s="1116"/>
      <c r="S12" s="1105"/>
      <c r="T12" s="1106"/>
      <c r="U12" s="1107"/>
      <c r="V12" s="1116"/>
    </row>
    <row r="13" spans="1:26" ht="24.75" customHeight="1" x14ac:dyDescent="0.2">
      <c r="A13" s="1118"/>
      <c r="B13" s="1118"/>
      <c r="C13" s="1118"/>
      <c r="D13" s="1118"/>
      <c r="E13" s="1118"/>
      <c r="F13" s="1118"/>
      <c r="G13" s="107" t="s">
        <v>277</v>
      </c>
      <c r="H13" s="107" t="s">
        <v>43</v>
      </c>
      <c r="I13" s="108" t="s">
        <v>44</v>
      </c>
      <c r="J13" s="1117"/>
      <c r="K13" s="107" t="s">
        <v>277</v>
      </c>
      <c r="L13" s="107" t="s">
        <v>43</v>
      </c>
      <c r="M13" s="107" t="s">
        <v>44</v>
      </c>
      <c r="N13" s="1117"/>
      <c r="O13" s="107" t="s">
        <v>277</v>
      </c>
      <c r="P13" s="107" t="s">
        <v>43</v>
      </c>
      <c r="Q13" s="107" t="s">
        <v>44</v>
      </c>
      <c r="R13" s="1117"/>
      <c r="S13" s="107" t="s">
        <v>277</v>
      </c>
      <c r="T13" s="107" t="s">
        <v>43</v>
      </c>
      <c r="U13" s="107" t="s">
        <v>44</v>
      </c>
      <c r="V13" s="1117"/>
    </row>
    <row r="14" spans="1:26" ht="24.75" customHeight="1" x14ac:dyDescent="0.2">
      <c r="A14" s="107">
        <v>1</v>
      </c>
      <c r="B14" s="107">
        <v>2</v>
      </c>
      <c r="C14" s="107">
        <v>3</v>
      </c>
      <c r="D14" s="107">
        <v>4</v>
      </c>
      <c r="E14" s="107">
        <v>5</v>
      </c>
      <c r="F14" s="107">
        <v>6</v>
      </c>
      <c r="G14" s="107">
        <v>7</v>
      </c>
      <c r="H14" s="107">
        <v>8</v>
      </c>
      <c r="I14" s="107">
        <v>9</v>
      </c>
      <c r="J14" s="107">
        <v>10</v>
      </c>
      <c r="K14" s="107">
        <v>11</v>
      </c>
      <c r="L14" s="107">
        <v>12</v>
      </c>
      <c r="M14" s="107">
        <v>13</v>
      </c>
      <c r="N14" s="107">
        <v>14</v>
      </c>
      <c r="O14" s="107">
        <v>15</v>
      </c>
      <c r="P14" s="107">
        <v>16</v>
      </c>
      <c r="Q14" s="107">
        <v>17</v>
      </c>
      <c r="R14" s="107">
        <v>18</v>
      </c>
      <c r="S14" s="107">
        <v>19</v>
      </c>
      <c r="T14" s="107">
        <v>20</v>
      </c>
      <c r="U14" s="107">
        <v>21</v>
      </c>
      <c r="V14" s="107">
        <v>22</v>
      </c>
    </row>
    <row r="15" spans="1:26" ht="24.75" customHeight="1" x14ac:dyDescent="0.2">
      <c r="A15" s="1126" t="s">
        <v>231</v>
      </c>
      <c r="B15" s="1127"/>
      <c r="C15" s="1127"/>
      <c r="D15" s="1127"/>
      <c r="E15" s="1127"/>
      <c r="F15" s="1127"/>
      <c r="G15" s="1127"/>
      <c r="H15" s="1127"/>
      <c r="I15" s="1127"/>
      <c r="J15" s="1127"/>
      <c r="K15" s="1127"/>
      <c r="L15" s="1127"/>
      <c r="M15" s="1127"/>
      <c r="N15" s="1127"/>
      <c r="O15" s="1127"/>
      <c r="P15" s="1127"/>
      <c r="Q15" s="1127"/>
      <c r="R15" s="1127"/>
      <c r="S15" s="1127"/>
      <c r="T15" s="1127"/>
      <c r="U15" s="1128"/>
      <c r="V15" s="107"/>
    </row>
    <row r="16" spans="1:26" ht="37.5" customHeight="1" x14ac:dyDescent="0.2">
      <c r="A16" s="732">
        <v>1</v>
      </c>
      <c r="B16" s="732" t="s">
        <v>230</v>
      </c>
      <c r="C16" s="748">
        <v>1848.12</v>
      </c>
      <c r="D16" s="749">
        <v>617.74</v>
      </c>
      <c r="E16" s="748">
        <v>78.36</v>
      </c>
      <c r="F16" s="750">
        <v>43216</v>
      </c>
      <c r="G16" s="751">
        <v>1848.12</v>
      </c>
      <c r="H16" s="751">
        <v>617.74</v>
      </c>
      <c r="I16" s="751">
        <v>78.36</v>
      </c>
      <c r="J16" s="752">
        <v>43256</v>
      </c>
      <c r="K16" s="753">
        <v>1843.33</v>
      </c>
      <c r="L16" s="751">
        <v>616.14</v>
      </c>
      <c r="M16" s="751">
        <v>78.16</v>
      </c>
      <c r="N16" s="752">
        <v>43272</v>
      </c>
      <c r="O16" s="1099" t="s">
        <v>471</v>
      </c>
      <c r="P16" s="1100"/>
      <c r="Q16" s="1100"/>
      <c r="R16" s="1100"/>
      <c r="S16" s="1100"/>
      <c r="T16" s="1100"/>
      <c r="U16" s="1100"/>
      <c r="V16" s="1101"/>
      <c r="W16" s="584"/>
      <c r="X16" s="584"/>
      <c r="Y16" s="584"/>
      <c r="Z16" s="584"/>
    </row>
    <row r="17" spans="1:22" ht="37.5" customHeight="1" x14ac:dyDescent="0.2">
      <c r="A17" s="732">
        <v>2</v>
      </c>
      <c r="B17" s="732" t="s">
        <v>166</v>
      </c>
      <c r="C17" s="748">
        <v>1693.79</v>
      </c>
      <c r="D17" s="749">
        <v>566.15</v>
      </c>
      <c r="E17" s="748">
        <v>71.819999999999993</v>
      </c>
      <c r="F17" s="750">
        <v>43353</v>
      </c>
      <c r="G17" s="751">
        <v>1693.79</v>
      </c>
      <c r="H17" s="753">
        <v>566.15</v>
      </c>
      <c r="I17" s="751">
        <v>71.819999999999993</v>
      </c>
      <c r="J17" s="752">
        <v>43376</v>
      </c>
      <c r="K17" s="753">
        <v>1684.6</v>
      </c>
      <c r="L17" s="751">
        <v>563.08000000000004</v>
      </c>
      <c r="M17" s="751">
        <v>71.430000000000007</v>
      </c>
      <c r="N17" s="752">
        <v>43389</v>
      </c>
      <c r="O17" s="1102"/>
      <c r="P17" s="1103"/>
      <c r="Q17" s="1103"/>
      <c r="R17" s="1103"/>
      <c r="S17" s="1103"/>
      <c r="T17" s="1103"/>
      <c r="U17" s="1103"/>
      <c r="V17" s="1104"/>
    </row>
    <row r="18" spans="1:22" ht="37.5" customHeight="1" x14ac:dyDescent="0.2">
      <c r="A18" s="733">
        <v>3</v>
      </c>
      <c r="B18" s="733" t="s">
        <v>777</v>
      </c>
      <c r="C18" s="751">
        <v>3348.97</v>
      </c>
      <c r="D18" s="753">
        <v>1108.21</v>
      </c>
      <c r="E18" s="753">
        <v>133.59</v>
      </c>
      <c r="F18" s="752">
        <v>43476</v>
      </c>
      <c r="G18" s="751">
        <v>3348.97</v>
      </c>
      <c r="H18" s="751">
        <v>1108.21</v>
      </c>
      <c r="I18" s="751">
        <v>133.59</v>
      </c>
      <c r="J18" s="752">
        <v>43502</v>
      </c>
      <c r="K18" s="753">
        <v>3079.96</v>
      </c>
      <c r="L18" s="751">
        <v>1029.48</v>
      </c>
      <c r="M18" s="751">
        <v>10.8</v>
      </c>
      <c r="N18" s="752">
        <v>43508</v>
      </c>
      <c r="O18" s="1102"/>
      <c r="P18" s="1103"/>
      <c r="Q18" s="1103"/>
      <c r="R18" s="1103"/>
      <c r="S18" s="1103"/>
      <c r="T18" s="1103"/>
      <c r="U18" s="1103"/>
      <c r="V18" s="1104"/>
    </row>
    <row r="19" spans="1:22" ht="37.5" customHeight="1" x14ac:dyDescent="0.2">
      <c r="A19" s="789">
        <v>4</v>
      </c>
      <c r="B19" s="790" t="s">
        <v>1057</v>
      </c>
      <c r="C19" s="753">
        <v>8.4</v>
      </c>
      <c r="D19" s="753">
        <v>2.78</v>
      </c>
      <c r="E19" s="753">
        <v>0.34</v>
      </c>
      <c r="F19" s="752">
        <v>43507</v>
      </c>
      <c r="G19" s="751">
        <v>8.4</v>
      </c>
      <c r="H19" s="751">
        <v>2.78</v>
      </c>
      <c r="I19" s="751">
        <v>0.34</v>
      </c>
      <c r="J19" s="752">
        <v>43546</v>
      </c>
      <c r="K19" s="751">
        <v>8.4</v>
      </c>
      <c r="L19" s="751">
        <v>2.78</v>
      </c>
      <c r="M19" s="751">
        <v>0.34</v>
      </c>
      <c r="N19" s="752">
        <v>43555</v>
      </c>
      <c r="O19" s="1102"/>
      <c r="P19" s="1103"/>
      <c r="Q19" s="1103"/>
      <c r="R19" s="1103"/>
      <c r="S19" s="1103"/>
      <c r="T19" s="1103"/>
      <c r="U19" s="1103"/>
      <c r="V19" s="1104"/>
    </row>
    <row r="20" spans="1:22" ht="37.5" customHeight="1" x14ac:dyDescent="0.2">
      <c r="A20" s="790">
        <v>5</v>
      </c>
      <c r="B20" s="733" t="s">
        <v>778</v>
      </c>
      <c r="C20" s="751">
        <v>0</v>
      </c>
      <c r="D20" s="753">
        <v>0</v>
      </c>
      <c r="E20" s="753">
        <v>0</v>
      </c>
      <c r="F20" s="751"/>
      <c r="G20" s="751">
        <v>740.82</v>
      </c>
      <c r="H20" s="751">
        <v>247.62</v>
      </c>
      <c r="I20" s="751">
        <v>31.41</v>
      </c>
      <c r="J20" s="752">
        <v>43315</v>
      </c>
      <c r="K20" s="753">
        <v>1078.83</v>
      </c>
      <c r="L20" s="751">
        <v>783.66</v>
      </c>
      <c r="M20" s="751">
        <v>261.94</v>
      </c>
      <c r="N20" s="752">
        <v>43358</v>
      </c>
      <c r="O20" s="1102"/>
      <c r="P20" s="1103"/>
      <c r="Q20" s="1103"/>
      <c r="R20" s="1103"/>
      <c r="S20" s="1103"/>
      <c r="T20" s="1103"/>
      <c r="U20" s="1103"/>
      <c r="V20" s="1104"/>
    </row>
    <row r="21" spans="1:22" ht="37.5" customHeight="1" x14ac:dyDescent="0.2">
      <c r="A21" s="789">
        <v>6</v>
      </c>
      <c r="B21" s="733" t="s">
        <v>779</v>
      </c>
      <c r="C21" s="751">
        <v>0</v>
      </c>
      <c r="D21" s="753">
        <v>0</v>
      </c>
      <c r="E21" s="753">
        <v>0</v>
      </c>
      <c r="F21" s="751"/>
      <c r="G21" s="751">
        <v>548.23</v>
      </c>
      <c r="H21" s="751">
        <v>183.24</v>
      </c>
      <c r="I21" s="751">
        <v>23.25</v>
      </c>
      <c r="J21" s="752">
        <v>43455</v>
      </c>
      <c r="K21" s="753">
        <v>385.34</v>
      </c>
      <c r="L21" s="751">
        <v>128.80000000000001</v>
      </c>
      <c r="M21" s="751">
        <v>16.34</v>
      </c>
      <c r="N21" s="752">
        <v>43465</v>
      </c>
      <c r="O21" s="1102"/>
      <c r="P21" s="1103"/>
      <c r="Q21" s="1103"/>
      <c r="R21" s="1103"/>
      <c r="S21" s="1103"/>
      <c r="T21" s="1103"/>
      <c r="U21" s="1103"/>
      <c r="V21" s="1104"/>
    </row>
    <row r="22" spans="1:22" ht="37.5" customHeight="1" x14ac:dyDescent="0.2">
      <c r="A22" s="790">
        <v>7</v>
      </c>
      <c r="B22" s="733" t="s">
        <v>780</v>
      </c>
      <c r="C22" s="751">
        <v>0</v>
      </c>
      <c r="D22" s="753">
        <v>0</v>
      </c>
      <c r="E22" s="753">
        <v>0</v>
      </c>
      <c r="F22" s="751"/>
      <c r="G22" s="751">
        <v>1269.75</v>
      </c>
      <c r="H22" s="751">
        <v>424.42</v>
      </c>
      <c r="I22" s="751">
        <v>53.84</v>
      </c>
      <c r="J22" s="752">
        <v>43532</v>
      </c>
      <c r="K22" s="753">
        <v>1200.96</v>
      </c>
      <c r="L22" s="751">
        <v>401.42</v>
      </c>
      <c r="M22" s="751">
        <v>50.92</v>
      </c>
      <c r="N22" s="752">
        <v>43555</v>
      </c>
      <c r="O22" s="1105"/>
      <c r="P22" s="1106"/>
      <c r="Q22" s="1106"/>
      <c r="R22" s="1106"/>
      <c r="S22" s="1106"/>
      <c r="T22" s="1106"/>
      <c r="U22" s="1106"/>
      <c r="V22" s="1107"/>
    </row>
    <row r="23" spans="1:22" ht="37.5" customHeight="1" x14ac:dyDescent="0.2">
      <c r="A23" s="1129" t="s">
        <v>232</v>
      </c>
      <c r="B23" s="1129"/>
      <c r="C23" s="1129"/>
      <c r="D23" s="1129"/>
      <c r="E23" s="1129"/>
      <c r="F23" s="1129"/>
      <c r="G23" s="1129"/>
      <c r="H23" s="1129"/>
      <c r="I23" s="1129"/>
      <c r="J23" s="1129"/>
      <c r="K23" s="1129"/>
      <c r="L23" s="1129"/>
      <c r="M23" s="1129"/>
      <c r="N23" s="1129"/>
      <c r="O23" s="1129"/>
      <c r="P23" s="1129"/>
      <c r="Q23" s="1129"/>
      <c r="R23" s="1129"/>
      <c r="S23" s="1129"/>
      <c r="T23" s="1129"/>
      <c r="U23" s="1129"/>
      <c r="V23" s="1129"/>
    </row>
    <row r="24" spans="1:22" ht="39.75" customHeight="1" x14ac:dyDescent="0.2">
      <c r="A24" s="107">
        <v>5</v>
      </c>
      <c r="B24" s="107" t="s">
        <v>213</v>
      </c>
      <c r="C24" s="173">
        <v>0</v>
      </c>
      <c r="D24" s="173">
        <v>0</v>
      </c>
      <c r="E24" s="173">
        <v>0</v>
      </c>
      <c r="F24" s="172"/>
      <c r="G24" s="173">
        <v>0</v>
      </c>
      <c r="H24" s="173">
        <v>0</v>
      </c>
      <c r="I24" s="173">
        <v>0</v>
      </c>
      <c r="J24" s="172"/>
      <c r="K24" s="173">
        <v>0</v>
      </c>
      <c r="L24" s="173">
        <v>0</v>
      </c>
      <c r="M24" s="173">
        <v>0</v>
      </c>
      <c r="N24" s="172"/>
      <c r="O24" s="1108"/>
      <c r="P24" s="1109"/>
      <c r="Q24" s="1109"/>
      <c r="R24" s="1109"/>
      <c r="S24" s="1109"/>
      <c r="T24" s="1109"/>
      <c r="U24" s="1109"/>
      <c r="V24" s="1110"/>
    </row>
    <row r="25" spans="1:22" ht="39.75" customHeight="1" x14ac:dyDescent="0.2">
      <c r="A25" s="107">
        <v>6</v>
      </c>
      <c r="B25" s="107" t="s">
        <v>141</v>
      </c>
      <c r="C25" s="173">
        <v>0</v>
      </c>
      <c r="D25" s="173">
        <v>0</v>
      </c>
      <c r="E25" s="173">
        <v>0</v>
      </c>
      <c r="F25" s="172"/>
      <c r="G25" s="173">
        <v>0</v>
      </c>
      <c r="H25" s="173">
        <v>0</v>
      </c>
      <c r="I25" s="173">
        <v>0</v>
      </c>
      <c r="J25" s="172"/>
      <c r="K25" s="173">
        <v>0</v>
      </c>
      <c r="L25" s="173">
        <v>0</v>
      </c>
      <c r="M25" s="173">
        <v>0</v>
      </c>
      <c r="N25" s="172"/>
      <c r="O25" s="1111"/>
      <c r="P25" s="1112"/>
      <c r="Q25" s="1112"/>
      <c r="R25" s="1112"/>
      <c r="S25" s="1112"/>
      <c r="T25" s="1112"/>
      <c r="U25" s="1112"/>
      <c r="V25" s="1113"/>
    </row>
    <row r="28" spans="1:22" ht="14.25" x14ac:dyDescent="0.2">
      <c r="A28" s="1130" t="s">
        <v>178</v>
      </c>
      <c r="B28" s="1130"/>
      <c r="C28" s="1130"/>
      <c r="D28" s="1130"/>
      <c r="E28" s="1130"/>
      <c r="F28" s="1130"/>
      <c r="G28" s="1130"/>
      <c r="H28" s="1130"/>
      <c r="I28" s="1130"/>
      <c r="J28" s="1130"/>
      <c r="K28" s="1130"/>
      <c r="L28" s="1130"/>
      <c r="M28" s="1130"/>
      <c r="N28" s="1130"/>
      <c r="O28" s="1130"/>
      <c r="P28" s="1130"/>
      <c r="Q28" s="1130"/>
      <c r="R28" s="1130"/>
      <c r="S28" s="1130"/>
      <c r="T28" s="1130"/>
      <c r="U28" s="1130"/>
      <c r="V28" s="1130"/>
    </row>
    <row r="29" spans="1:22" ht="14.25" x14ac:dyDescent="0.2">
      <c r="A29" s="109"/>
      <c r="B29" s="109"/>
      <c r="C29" s="109"/>
      <c r="D29" s="109"/>
      <c r="E29" s="109"/>
      <c r="F29" s="109"/>
      <c r="G29" s="109"/>
      <c r="H29" s="109"/>
      <c r="I29" s="109"/>
      <c r="J29" s="109"/>
      <c r="K29" s="109"/>
      <c r="L29" s="109"/>
      <c r="M29" s="109"/>
      <c r="N29" s="109"/>
      <c r="O29" s="109"/>
      <c r="P29" s="109"/>
      <c r="Q29" s="109"/>
      <c r="R29" s="109"/>
      <c r="S29" s="109"/>
      <c r="T29" s="109"/>
      <c r="U29" s="109"/>
      <c r="V29" s="109"/>
    </row>
    <row r="30" spans="1:22" x14ac:dyDescent="0.2">
      <c r="A30" s="55"/>
      <c r="B30" s="55"/>
      <c r="C30" s="55"/>
      <c r="D30" s="55"/>
      <c r="E30" s="55"/>
      <c r="F30" s="55"/>
      <c r="G30" s="55"/>
      <c r="H30" s="55"/>
      <c r="I30" s="55"/>
      <c r="J30" s="55"/>
      <c r="K30" s="55"/>
      <c r="L30" s="55"/>
      <c r="M30" s="55"/>
      <c r="N30" s="55"/>
      <c r="O30" s="55"/>
      <c r="P30" s="55"/>
      <c r="Q30" s="55"/>
      <c r="R30" s="55"/>
    </row>
    <row r="31" spans="1:22" ht="15.75" x14ac:dyDescent="0.25">
      <c r="A31" s="63" t="s">
        <v>11</v>
      </c>
      <c r="B31" s="63"/>
      <c r="C31" s="63"/>
      <c r="D31" s="63"/>
      <c r="E31" s="63"/>
      <c r="F31" s="63"/>
      <c r="G31" s="63"/>
      <c r="H31" s="63"/>
      <c r="I31" s="63"/>
      <c r="J31" s="63"/>
      <c r="K31" s="63"/>
      <c r="L31" s="63"/>
      <c r="M31" s="63"/>
      <c r="N31" s="1124" t="s">
        <v>12</v>
      </c>
      <c r="O31" s="1124"/>
      <c r="P31" s="1124"/>
      <c r="Q31" s="1124"/>
      <c r="R31" s="1124"/>
      <c r="S31" s="1124"/>
      <c r="T31" s="1124"/>
      <c r="U31" s="1124"/>
      <c r="V31" s="1124"/>
    </row>
    <row r="32" spans="1:22" ht="15.75" x14ac:dyDescent="0.2">
      <c r="A32" s="1124" t="s">
        <v>13</v>
      </c>
      <c r="B32" s="1124"/>
      <c r="C32" s="1124"/>
      <c r="D32" s="1124"/>
      <c r="E32" s="1124"/>
      <c r="F32" s="1124"/>
      <c r="G32" s="1124"/>
      <c r="H32" s="1124"/>
      <c r="I32" s="1124"/>
      <c r="J32" s="1124"/>
      <c r="K32" s="1124"/>
      <c r="L32" s="1124"/>
      <c r="M32" s="1124"/>
      <c r="N32" s="1124"/>
      <c r="O32" s="1124"/>
      <c r="P32" s="1124"/>
      <c r="Q32" s="1124"/>
      <c r="R32" s="1124"/>
      <c r="S32" s="1124"/>
      <c r="T32" s="1124"/>
      <c r="U32" s="1124"/>
      <c r="V32" s="1124"/>
    </row>
    <row r="33" spans="1:22" ht="15.75" x14ac:dyDescent="0.2">
      <c r="A33" s="1124" t="s">
        <v>14</v>
      </c>
      <c r="B33" s="1124"/>
      <c r="C33" s="1124"/>
      <c r="D33" s="1124"/>
      <c r="E33" s="1124"/>
      <c r="F33" s="1124"/>
      <c r="G33" s="1124"/>
      <c r="H33" s="1124"/>
      <c r="I33" s="1124"/>
      <c r="J33" s="1124"/>
      <c r="K33" s="1124"/>
      <c r="L33" s="1124"/>
      <c r="M33" s="1124"/>
      <c r="N33" s="1124"/>
      <c r="O33" s="1124"/>
      <c r="P33" s="1124"/>
      <c r="Q33" s="1124"/>
      <c r="R33" s="1124"/>
      <c r="S33" s="1124"/>
      <c r="T33" s="1124"/>
      <c r="U33" s="1124"/>
      <c r="V33" s="1124"/>
    </row>
    <row r="34" spans="1:22" ht="15.75" x14ac:dyDescent="0.25">
      <c r="A34" s="508"/>
      <c r="B34" s="508"/>
      <c r="C34" s="508"/>
      <c r="D34" s="508"/>
      <c r="E34" s="508"/>
      <c r="F34" s="508"/>
      <c r="G34" s="508"/>
      <c r="H34" s="508"/>
      <c r="I34" s="508"/>
      <c r="J34" s="508"/>
      <c r="K34" s="508"/>
      <c r="L34" s="508"/>
      <c r="M34" s="508"/>
      <c r="N34" s="510"/>
      <c r="O34" s="510"/>
      <c r="P34" s="510"/>
      <c r="Q34" s="510"/>
      <c r="R34" s="510"/>
      <c r="S34" s="1125" t="s">
        <v>84</v>
      </c>
      <c r="T34" s="1125"/>
      <c r="U34" s="1125"/>
      <c r="V34" s="510"/>
    </row>
  </sheetData>
  <mergeCells count="37">
    <mergeCell ref="A32:V32"/>
    <mergeCell ref="A33:V33"/>
    <mergeCell ref="S34:U34"/>
    <mergeCell ref="V11:V13"/>
    <mergeCell ref="A15:U15"/>
    <mergeCell ref="A23:V23"/>
    <mergeCell ref="A28:V28"/>
    <mergeCell ref="N31:V31"/>
    <mergeCell ref="A9:A13"/>
    <mergeCell ref="O10:R10"/>
    <mergeCell ref="S10:V10"/>
    <mergeCell ref="G11:I12"/>
    <mergeCell ref="J11:J13"/>
    <mergeCell ref="K11:M12"/>
    <mergeCell ref="N11:N13"/>
    <mergeCell ref="K10:N10"/>
    <mergeCell ref="A2:V2"/>
    <mergeCell ref="A3:V3"/>
    <mergeCell ref="A4:V4"/>
    <mergeCell ref="A5:V5"/>
    <mergeCell ref="U6:V6"/>
    <mergeCell ref="O16:V22"/>
    <mergeCell ref="O24:V25"/>
    <mergeCell ref="A8:C8"/>
    <mergeCell ref="O8:V8"/>
    <mergeCell ref="O11:Q12"/>
    <mergeCell ref="R11:R13"/>
    <mergeCell ref="S11:U12"/>
    <mergeCell ref="B9:B13"/>
    <mergeCell ref="C9:E9"/>
    <mergeCell ref="F9:F13"/>
    <mergeCell ref="G9:N9"/>
    <mergeCell ref="O9:V9"/>
    <mergeCell ref="C10:C13"/>
    <mergeCell ref="D10:D13"/>
    <mergeCell ref="E10:E13"/>
    <mergeCell ref="G10:J10"/>
  </mergeCells>
  <printOptions horizontalCentered="1"/>
  <pageMargins left="0.28000000000000003" right="0.2" top="0.42" bottom="0" header="0.26" footer="0.31496062992125984"/>
  <pageSetup paperSize="9" scale="61" orientation="landscape" r:id="rId1"/>
  <colBreaks count="1" manualBreakCount="1">
    <brk id="22"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5" tint="0.59999389629810485"/>
    <pageSetUpPr fitToPage="1"/>
  </sheetPr>
  <dimension ref="A1:V39"/>
  <sheetViews>
    <sheetView view="pageBreakPreview" zoomScale="90" zoomScaleSheetLayoutView="90" workbookViewId="0">
      <selection activeCell="C9" sqref="C9:V21"/>
    </sheetView>
  </sheetViews>
  <sheetFormatPr defaultRowHeight="12.75" x14ac:dyDescent="0.2"/>
  <cols>
    <col min="1" max="1" width="6.5703125" style="680" customWidth="1"/>
    <col min="2" max="2" width="15.42578125" style="680" customWidth="1"/>
    <col min="3" max="3" width="17.85546875" style="680" customWidth="1"/>
    <col min="4" max="4" width="10.85546875" style="680" customWidth="1"/>
    <col min="5" max="5" width="4.5703125" style="680" customWidth="1"/>
    <col min="6" max="6" width="0.28515625" style="680" hidden="1" customWidth="1"/>
    <col min="7" max="7" width="8.7109375" style="680" customWidth="1"/>
    <col min="8" max="8" width="8" style="680" customWidth="1"/>
    <col min="9" max="14" width="8.140625" style="680" customWidth="1"/>
    <col min="15" max="18" width="10" style="680" customWidth="1"/>
    <col min="19" max="20" width="10" style="12" customWidth="1"/>
    <col min="21" max="21" width="12.140625" style="12" customWidth="1"/>
    <col min="22" max="22" width="11.7109375" style="12" customWidth="1"/>
    <col min="23" max="16384" width="9.140625" style="12"/>
  </cols>
  <sheetData>
    <row r="1" spans="1:22" ht="15" x14ac:dyDescent="0.2">
      <c r="D1" s="1037"/>
      <c r="E1" s="1037"/>
      <c r="F1" s="1037"/>
      <c r="G1" s="1037"/>
      <c r="U1" s="1237" t="s">
        <v>675</v>
      </c>
      <c r="V1" s="1237"/>
    </row>
    <row r="2" spans="1:22" ht="15.75" x14ac:dyDescent="0.25">
      <c r="A2" s="1131" t="s">
        <v>0</v>
      </c>
      <c r="B2" s="1131"/>
      <c r="C2" s="1131"/>
      <c r="D2" s="1131"/>
      <c r="E2" s="1131"/>
      <c r="F2" s="1131"/>
      <c r="G2" s="1131"/>
      <c r="H2" s="1131"/>
      <c r="I2" s="1131"/>
      <c r="J2" s="1131"/>
      <c r="K2" s="1131"/>
      <c r="L2" s="1131"/>
      <c r="M2" s="1131"/>
      <c r="N2" s="1131"/>
      <c r="O2" s="1131"/>
      <c r="P2" s="1131"/>
      <c r="Q2" s="1131"/>
      <c r="R2" s="1131"/>
      <c r="S2" s="1131"/>
      <c r="T2" s="1131"/>
      <c r="U2" s="1131"/>
      <c r="V2" s="1131"/>
    </row>
    <row r="3" spans="1:22" ht="15.75" x14ac:dyDescent="0.25">
      <c r="A3" s="1131" t="s">
        <v>788</v>
      </c>
      <c r="B3" s="1131"/>
      <c r="C3" s="1131"/>
      <c r="D3" s="1131"/>
      <c r="E3" s="1131"/>
      <c r="F3" s="1131"/>
      <c r="G3" s="1131"/>
      <c r="H3" s="1131"/>
      <c r="I3" s="1131"/>
      <c r="J3" s="1131"/>
      <c r="K3" s="1131"/>
      <c r="L3" s="1131"/>
      <c r="M3" s="1131"/>
      <c r="N3" s="1131"/>
      <c r="O3" s="1131"/>
      <c r="P3" s="1131"/>
      <c r="Q3" s="1131"/>
      <c r="R3" s="1131"/>
      <c r="S3" s="1131"/>
      <c r="T3" s="1131"/>
      <c r="U3" s="1131"/>
      <c r="V3" s="1131"/>
    </row>
    <row r="4" spans="1:22" s="48" customFormat="1" ht="15.75" customHeight="1" x14ac:dyDescent="0.25">
      <c r="A4" s="1181" t="s">
        <v>825</v>
      </c>
      <c r="B4" s="1181"/>
      <c r="C4" s="1181"/>
      <c r="D4" s="1181"/>
      <c r="E4" s="1181"/>
      <c r="F4" s="1181"/>
      <c r="G4" s="1181"/>
      <c r="H4" s="1181"/>
      <c r="I4" s="1181"/>
      <c r="J4" s="1181"/>
      <c r="K4" s="1181"/>
      <c r="L4" s="1181"/>
      <c r="M4" s="1181"/>
      <c r="N4" s="1181"/>
      <c r="O4" s="1181"/>
      <c r="P4" s="1181"/>
      <c r="Q4" s="1181"/>
      <c r="R4" s="1181"/>
      <c r="S4" s="1181"/>
      <c r="T4" s="1181"/>
      <c r="U4" s="1181"/>
      <c r="V4" s="1181"/>
    </row>
    <row r="5" spans="1:22" ht="21.75" customHeight="1" x14ac:dyDescent="0.2">
      <c r="A5" s="1236" t="s">
        <v>456</v>
      </c>
      <c r="B5" s="1236"/>
      <c r="C5" s="1236"/>
      <c r="D5" s="681"/>
      <c r="E5" s="681"/>
      <c r="I5" s="1480"/>
      <c r="J5" s="1480"/>
      <c r="K5" s="1480"/>
      <c r="L5" s="1480"/>
      <c r="M5" s="1480"/>
      <c r="N5" s="1480"/>
      <c r="O5" s="1480"/>
      <c r="P5" s="1480"/>
      <c r="Q5" s="1480"/>
      <c r="R5" s="1480"/>
    </row>
    <row r="6" spans="1:22" ht="35.25" customHeight="1" x14ac:dyDescent="0.2">
      <c r="A6" s="1136" t="s">
        <v>2</v>
      </c>
      <c r="B6" s="1136" t="s">
        <v>3</v>
      </c>
      <c r="C6" s="1136" t="s">
        <v>672</v>
      </c>
      <c r="D6" s="1221" t="s">
        <v>85</v>
      </c>
      <c r="E6" s="1222"/>
      <c r="F6" s="1223"/>
      <c r="G6" s="1165" t="s">
        <v>86</v>
      </c>
      <c r="H6" s="1166"/>
      <c r="I6" s="1166"/>
      <c r="J6" s="1167"/>
      <c r="K6" s="1165" t="s">
        <v>95</v>
      </c>
      <c r="L6" s="1166"/>
      <c r="M6" s="1166"/>
      <c r="N6" s="1167"/>
      <c r="O6" s="1145" t="s">
        <v>755</v>
      </c>
      <c r="P6" s="1145"/>
      <c r="Q6" s="1145"/>
      <c r="R6" s="1145"/>
      <c r="S6" s="1145"/>
      <c r="T6" s="1145"/>
      <c r="U6" s="1475" t="s">
        <v>838</v>
      </c>
      <c r="V6" s="1475"/>
    </row>
    <row r="7" spans="1:22" ht="45.75" customHeight="1" x14ac:dyDescent="0.2">
      <c r="A7" s="1137"/>
      <c r="B7" s="1137"/>
      <c r="C7" s="1137"/>
      <c r="D7" s="1389"/>
      <c r="E7" s="1481"/>
      <c r="F7" s="1482"/>
      <c r="G7" s="682" t="s">
        <v>194</v>
      </c>
      <c r="H7" s="682" t="s">
        <v>119</v>
      </c>
      <c r="I7" s="682" t="s">
        <v>120</v>
      </c>
      <c r="J7" s="291" t="s">
        <v>512</v>
      </c>
      <c r="K7" s="682" t="s">
        <v>147</v>
      </c>
      <c r="L7" s="682" t="s">
        <v>148</v>
      </c>
      <c r="M7" s="682" t="s">
        <v>149</v>
      </c>
      <c r="N7" s="291" t="s">
        <v>512</v>
      </c>
      <c r="O7" s="691" t="s">
        <v>749</v>
      </c>
      <c r="P7" s="691" t="s">
        <v>754</v>
      </c>
      <c r="Q7" s="691" t="s">
        <v>752</v>
      </c>
      <c r="R7" s="691" t="s">
        <v>753</v>
      </c>
      <c r="S7" s="691" t="s">
        <v>750</v>
      </c>
      <c r="T7" s="691" t="s">
        <v>751</v>
      </c>
      <c r="U7" s="805" t="s">
        <v>839</v>
      </c>
      <c r="V7" s="805" t="s">
        <v>840</v>
      </c>
    </row>
    <row r="8" spans="1:22" s="11" customFormat="1" ht="19.5" customHeight="1" x14ac:dyDescent="0.2">
      <c r="A8" s="678">
        <v>1</v>
      </c>
      <c r="B8" s="678">
        <v>2</v>
      </c>
      <c r="C8" s="678">
        <v>3</v>
      </c>
      <c r="D8" s="1165">
        <v>4</v>
      </c>
      <c r="E8" s="1166"/>
      <c r="F8" s="1167"/>
      <c r="G8" s="678">
        <v>5</v>
      </c>
      <c r="H8" s="678">
        <v>6</v>
      </c>
      <c r="I8" s="678">
        <v>7</v>
      </c>
      <c r="J8" s="678">
        <v>8</v>
      </c>
      <c r="K8" s="678">
        <v>9</v>
      </c>
      <c r="L8" s="678">
        <v>10</v>
      </c>
      <c r="M8" s="678">
        <v>11</v>
      </c>
      <c r="N8" s="678">
        <v>12</v>
      </c>
      <c r="O8" s="688">
        <v>13</v>
      </c>
      <c r="P8" s="688">
        <v>14</v>
      </c>
      <c r="Q8" s="688">
        <v>15</v>
      </c>
      <c r="R8" s="688">
        <v>16</v>
      </c>
      <c r="S8" s="688">
        <v>17</v>
      </c>
      <c r="T8" s="688">
        <v>18</v>
      </c>
      <c r="U8" s="806">
        <v>19</v>
      </c>
      <c r="V8" s="806">
        <v>20</v>
      </c>
    </row>
    <row r="9" spans="1:22" ht="21" customHeight="1" x14ac:dyDescent="0.2">
      <c r="A9" s="679">
        <v>1</v>
      </c>
      <c r="B9" s="358" t="s">
        <v>386</v>
      </c>
      <c r="C9" s="1483" t="s">
        <v>400</v>
      </c>
      <c r="D9" s="1484"/>
      <c r="E9" s="1484"/>
      <c r="F9" s="1484"/>
      <c r="G9" s="1484"/>
      <c r="H9" s="1484"/>
      <c r="I9" s="1484"/>
      <c r="J9" s="1484"/>
      <c r="K9" s="1484"/>
      <c r="L9" s="1484"/>
      <c r="M9" s="1484"/>
      <c r="N9" s="1484"/>
      <c r="O9" s="1484"/>
      <c r="P9" s="1484"/>
      <c r="Q9" s="1484"/>
      <c r="R9" s="1484"/>
      <c r="S9" s="1484"/>
      <c r="T9" s="1484"/>
      <c r="U9" s="1484"/>
      <c r="V9" s="1485"/>
    </row>
    <row r="10" spans="1:22" ht="21" customHeight="1" x14ac:dyDescent="0.2">
      <c r="A10" s="679">
        <v>2</v>
      </c>
      <c r="B10" s="358" t="s">
        <v>387</v>
      </c>
      <c r="C10" s="1486"/>
      <c r="D10" s="1487"/>
      <c r="E10" s="1487"/>
      <c r="F10" s="1487"/>
      <c r="G10" s="1487"/>
      <c r="H10" s="1487"/>
      <c r="I10" s="1487"/>
      <c r="J10" s="1487"/>
      <c r="K10" s="1487"/>
      <c r="L10" s="1487"/>
      <c r="M10" s="1487"/>
      <c r="N10" s="1487"/>
      <c r="O10" s="1487"/>
      <c r="P10" s="1487"/>
      <c r="Q10" s="1487"/>
      <c r="R10" s="1487"/>
      <c r="S10" s="1487"/>
      <c r="T10" s="1487"/>
      <c r="U10" s="1487"/>
      <c r="V10" s="1488"/>
    </row>
    <row r="11" spans="1:22" ht="21" customHeight="1" x14ac:dyDescent="0.2">
      <c r="A11" s="679">
        <v>3</v>
      </c>
      <c r="B11" s="358" t="s">
        <v>388</v>
      </c>
      <c r="C11" s="1486"/>
      <c r="D11" s="1487"/>
      <c r="E11" s="1487"/>
      <c r="F11" s="1487"/>
      <c r="G11" s="1487"/>
      <c r="H11" s="1487"/>
      <c r="I11" s="1487"/>
      <c r="J11" s="1487"/>
      <c r="K11" s="1487"/>
      <c r="L11" s="1487"/>
      <c r="M11" s="1487"/>
      <c r="N11" s="1487"/>
      <c r="O11" s="1487"/>
      <c r="P11" s="1487"/>
      <c r="Q11" s="1487"/>
      <c r="R11" s="1487"/>
      <c r="S11" s="1487"/>
      <c r="T11" s="1487"/>
      <c r="U11" s="1487"/>
      <c r="V11" s="1488"/>
    </row>
    <row r="12" spans="1:22" ht="21" customHeight="1" x14ac:dyDescent="0.2">
      <c r="A12" s="679">
        <v>4</v>
      </c>
      <c r="B12" s="358" t="s">
        <v>389</v>
      </c>
      <c r="C12" s="1486"/>
      <c r="D12" s="1487"/>
      <c r="E12" s="1487"/>
      <c r="F12" s="1487"/>
      <c r="G12" s="1487"/>
      <c r="H12" s="1487"/>
      <c r="I12" s="1487"/>
      <c r="J12" s="1487"/>
      <c r="K12" s="1487"/>
      <c r="L12" s="1487"/>
      <c r="M12" s="1487"/>
      <c r="N12" s="1487"/>
      <c r="O12" s="1487"/>
      <c r="P12" s="1487"/>
      <c r="Q12" s="1487"/>
      <c r="R12" s="1487"/>
      <c r="S12" s="1487"/>
      <c r="T12" s="1487"/>
      <c r="U12" s="1487"/>
      <c r="V12" s="1488"/>
    </row>
    <row r="13" spans="1:22" ht="21" customHeight="1" x14ac:dyDescent="0.2">
      <c r="A13" s="679">
        <v>5</v>
      </c>
      <c r="B13" s="359" t="s">
        <v>390</v>
      </c>
      <c r="C13" s="1486"/>
      <c r="D13" s="1487"/>
      <c r="E13" s="1487"/>
      <c r="F13" s="1487"/>
      <c r="G13" s="1487"/>
      <c r="H13" s="1487"/>
      <c r="I13" s="1487"/>
      <c r="J13" s="1487"/>
      <c r="K13" s="1487"/>
      <c r="L13" s="1487"/>
      <c r="M13" s="1487"/>
      <c r="N13" s="1487"/>
      <c r="O13" s="1487"/>
      <c r="P13" s="1487"/>
      <c r="Q13" s="1487"/>
      <c r="R13" s="1487"/>
      <c r="S13" s="1487"/>
      <c r="T13" s="1487"/>
      <c r="U13" s="1487"/>
      <c r="V13" s="1488"/>
    </row>
    <row r="14" spans="1:22" ht="21" customHeight="1" x14ac:dyDescent="0.2">
      <c r="A14" s="679">
        <v>6</v>
      </c>
      <c r="B14" s="358" t="s">
        <v>391</v>
      </c>
      <c r="C14" s="1486"/>
      <c r="D14" s="1487"/>
      <c r="E14" s="1487"/>
      <c r="F14" s="1487"/>
      <c r="G14" s="1487"/>
      <c r="H14" s="1487"/>
      <c r="I14" s="1487"/>
      <c r="J14" s="1487"/>
      <c r="K14" s="1487"/>
      <c r="L14" s="1487"/>
      <c r="M14" s="1487"/>
      <c r="N14" s="1487"/>
      <c r="O14" s="1487"/>
      <c r="P14" s="1487"/>
      <c r="Q14" s="1487"/>
      <c r="R14" s="1487"/>
      <c r="S14" s="1487"/>
      <c r="T14" s="1487"/>
      <c r="U14" s="1487"/>
      <c r="V14" s="1488"/>
    </row>
    <row r="15" spans="1:22" ht="21" customHeight="1" x14ac:dyDescent="0.2">
      <c r="A15" s="679">
        <v>7</v>
      </c>
      <c r="B15" s="359" t="s">
        <v>392</v>
      </c>
      <c r="C15" s="1486"/>
      <c r="D15" s="1487"/>
      <c r="E15" s="1487"/>
      <c r="F15" s="1487"/>
      <c r="G15" s="1487"/>
      <c r="H15" s="1487"/>
      <c r="I15" s="1487"/>
      <c r="J15" s="1487"/>
      <c r="K15" s="1487"/>
      <c r="L15" s="1487"/>
      <c r="M15" s="1487"/>
      <c r="N15" s="1487"/>
      <c r="O15" s="1487"/>
      <c r="P15" s="1487"/>
      <c r="Q15" s="1487"/>
      <c r="R15" s="1487"/>
      <c r="S15" s="1487"/>
      <c r="T15" s="1487"/>
      <c r="U15" s="1487"/>
      <c r="V15" s="1488"/>
    </row>
    <row r="16" spans="1:22" ht="21" customHeight="1" x14ac:dyDescent="0.2">
      <c r="A16" s="679">
        <v>8</v>
      </c>
      <c r="B16" s="358" t="s">
        <v>393</v>
      </c>
      <c r="C16" s="1486"/>
      <c r="D16" s="1487"/>
      <c r="E16" s="1487"/>
      <c r="F16" s="1487"/>
      <c r="G16" s="1487"/>
      <c r="H16" s="1487"/>
      <c r="I16" s="1487"/>
      <c r="J16" s="1487"/>
      <c r="K16" s="1487"/>
      <c r="L16" s="1487"/>
      <c r="M16" s="1487"/>
      <c r="N16" s="1487"/>
      <c r="O16" s="1487"/>
      <c r="P16" s="1487"/>
      <c r="Q16" s="1487"/>
      <c r="R16" s="1487"/>
      <c r="S16" s="1487"/>
      <c r="T16" s="1487"/>
      <c r="U16" s="1487"/>
      <c r="V16" s="1488"/>
    </row>
    <row r="17" spans="1:22" ht="21" customHeight="1" x14ac:dyDescent="0.2">
      <c r="A17" s="679">
        <v>9</v>
      </c>
      <c r="B17" s="358" t="s">
        <v>394</v>
      </c>
      <c r="C17" s="1486"/>
      <c r="D17" s="1487"/>
      <c r="E17" s="1487"/>
      <c r="F17" s="1487"/>
      <c r="G17" s="1487"/>
      <c r="H17" s="1487"/>
      <c r="I17" s="1487"/>
      <c r="J17" s="1487"/>
      <c r="K17" s="1487"/>
      <c r="L17" s="1487"/>
      <c r="M17" s="1487"/>
      <c r="N17" s="1487"/>
      <c r="O17" s="1487"/>
      <c r="P17" s="1487"/>
      <c r="Q17" s="1487"/>
      <c r="R17" s="1487"/>
      <c r="S17" s="1487"/>
      <c r="T17" s="1487"/>
      <c r="U17" s="1487"/>
      <c r="V17" s="1488"/>
    </row>
    <row r="18" spans="1:22" ht="21" customHeight="1" x14ac:dyDescent="0.2">
      <c r="A18" s="679">
        <v>10</v>
      </c>
      <c r="B18" s="358" t="s">
        <v>395</v>
      </c>
      <c r="C18" s="1486"/>
      <c r="D18" s="1487"/>
      <c r="E18" s="1487"/>
      <c r="F18" s="1487"/>
      <c r="G18" s="1487"/>
      <c r="H18" s="1487"/>
      <c r="I18" s="1487"/>
      <c r="J18" s="1487"/>
      <c r="K18" s="1487"/>
      <c r="L18" s="1487"/>
      <c r="M18" s="1487"/>
      <c r="N18" s="1487"/>
      <c r="O18" s="1487"/>
      <c r="P18" s="1487"/>
      <c r="Q18" s="1487"/>
      <c r="R18" s="1487"/>
      <c r="S18" s="1487"/>
      <c r="T18" s="1487"/>
      <c r="U18" s="1487"/>
      <c r="V18" s="1488"/>
    </row>
    <row r="19" spans="1:22" ht="21" customHeight="1" x14ac:dyDescent="0.2">
      <c r="A19" s="679">
        <v>11</v>
      </c>
      <c r="B19" s="358" t="s">
        <v>396</v>
      </c>
      <c r="C19" s="1486"/>
      <c r="D19" s="1487"/>
      <c r="E19" s="1487"/>
      <c r="F19" s="1487"/>
      <c r="G19" s="1487"/>
      <c r="H19" s="1487"/>
      <c r="I19" s="1487"/>
      <c r="J19" s="1487"/>
      <c r="K19" s="1487"/>
      <c r="L19" s="1487"/>
      <c r="M19" s="1487"/>
      <c r="N19" s="1487"/>
      <c r="O19" s="1487"/>
      <c r="P19" s="1487"/>
      <c r="Q19" s="1487"/>
      <c r="R19" s="1487"/>
      <c r="S19" s="1487"/>
      <c r="T19" s="1487"/>
      <c r="U19" s="1487"/>
      <c r="V19" s="1488"/>
    </row>
    <row r="20" spans="1:22" ht="21" customHeight="1" x14ac:dyDescent="0.2">
      <c r="A20" s="679">
        <v>12</v>
      </c>
      <c r="B20" s="358" t="s">
        <v>397</v>
      </c>
      <c r="C20" s="1486"/>
      <c r="D20" s="1487"/>
      <c r="E20" s="1487"/>
      <c r="F20" s="1487"/>
      <c r="G20" s="1487"/>
      <c r="H20" s="1487"/>
      <c r="I20" s="1487"/>
      <c r="J20" s="1487"/>
      <c r="K20" s="1487"/>
      <c r="L20" s="1487"/>
      <c r="M20" s="1487"/>
      <c r="N20" s="1487"/>
      <c r="O20" s="1487"/>
      <c r="P20" s="1487"/>
      <c r="Q20" s="1487"/>
      <c r="R20" s="1487"/>
      <c r="S20" s="1487"/>
      <c r="T20" s="1487"/>
      <c r="U20" s="1487"/>
      <c r="V20" s="1488"/>
    </row>
    <row r="21" spans="1:22" ht="21" customHeight="1" x14ac:dyDescent="0.2">
      <c r="A21" s="679">
        <v>13</v>
      </c>
      <c r="B21" s="358" t="s">
        <v>398</v>
      </c>
      <c r="C21" s="1489"/>
      <c r="D21" s="1490"/>
      <c r="E21" s="1490"/>
      <c r="F21" s="1490"/>
      <c r="G21" s="1490"/>
      <c r="H21" s="1490"/>
      <c r="I21" s="1490"/>
      <c r="J21" s="1490"/>
      <c r="K21" s="1490"/>
      <c r="L21" s="1490"/>
      <c r="M21" s="1490"/>
      <c r="N21" s="1490"/>
      <c r="O21" s="1490"/>
      <c r="P21" s="1490"/>
      <c r="Q21" s="1490"/>
      <c r="R21" s="1490"/>
      <c r="S21" s="1490"/>
      <c r="T21" s="1490"/>
      <c r="U21" s="1490"/>
      <c r="V21" s="1491"/>
    </row>
    <row r="22" spans="1:22" ht="21" customHeight="1" x14ac:dyDescent="0.2">
      <c r="A22" s="679" t="s">
        <v>18</v>
      </c>
      <c r="B22" s="212"/>
      <c r="C22" s="253"/>
      <c r="D22" s="1492"/>
      <c r="E22" s="1493"/>
      <c r="F22" s="1494"/>
      <c r="G22" s="253"/>
      <c r="H22" s="253"/>
      <c r="I22" s="253"/>
      <c r="J22" s="253"/>
      <c r="K22" s="253"/>
      <c r="L22" s="253"/>
      <c r="M22" s="253"/>
      <c r="N22" s="253"/>
      <c r="O22" s="253"/>
      <c r="P22" s="253"/>
      <c r="Q22" s="253"/>
      <c r="R22" s="253"/>
      <c r="S22" s="14"/>
      <c r="T22" s="14"/>
      <c r="U22" s="14"/>
      <c r="V22" s="19"/>
    </row>
    <row r="23" spans="1:22" x14ac:dyDescent="0.2">
      <c r="A23" s="16"/>
      <c r="B23" s="16"/>
      <c r="C23" s="16"/>
      <c r="D23" s="16"/>
      <c r="E23" s="16"/>
    </row>
    <row r="24" spans="1:22" x14ac:dyDescent="0.2">
      <c r="A24" s="347" t="s">
        <v>7</v>
      </c>
      <c r="B24" s="348"/>
      <c r="C24" s="348"/>
      <c r="D24" s="349"/>
      <c r="E24" s="530"/>
      <c r="F24" s="530"/>
      <c r="G24" s="530"/>
      <c r="H24" s="530"/>
      <c r="I24" s="530"/>
      <c r="J24" s="530"/>
      <c r="K24" s="530"/>
      <c r="L24" s="530"/>
      <c r="M24" s="530"/>
      <c r="N24" s="530"/>
      <c r="O24" s="530"/>
      <c r="P24" s="530"/>
      <c r="Q24" s="530"/>
      <c r="R24" s="530"/>
    </row>
    <row r="25" spans="1:22" x14ac:dyDescent="0.2">
      <c r="A25" s="351" t="s">
        <v>8</v>
      </c>
      <c r="B25" s="351"/>
      <c r="C25" s="351"/>
      <c r="D25" s="350"/>
      <c r="E25" s="530"/>
      <c r="F25" s="530"/>
      <c r="G25" s="530"/>
      <c r="H25" s="530"/>
      <c r="I25" s="530"/>
      <c r="J25" s="530"/>
      <c r="K25" s="530"/>
      <c r="L25" s="530"/>
      <c r="M25" s="530"/>
      <c r="N25" s="530"/>
      <c r="O25" s="530"/>
      <c r="P25" s="530"/>
      <c r="Q25" s="530"/>
      <c r="R25" s="530"/>
    </row>
    <row r="26" spans="1:22" x14ac:dyDescent="0.2">
      <c r="A26" s="351" t="s">
        <v>9</v>
      </c>
      <c r="B26" s="351"/>
      <c r="C26" s="351"/>
      <c r="D26" s="350"/>
      <c r="E26" s="530"/>
      <c r="F26" s="530"/>
      <c r="G26" s="530"/>
      <c r="H26" s="530"/>
      <c r="I26" s="530"/>
      <c r="J26" s="530"/>
      <c r="K26" s="530"/>
      <c r="L26" s="530"/>
      <c r="M26" s="530"/>
      <c r="N26" s="530"/>
      <c r="O26" s="530"/>
      <c r="P26" s="530"/>
      <c r="Q26" s="530"/>
      <c r="R26" s="530"/>
    </row>
    <row r="27" spans="1:22" x14ac:dyDescent="0.2">
      <c r="A27" s="1474" t="s">
        <v>233</v>
      </c>
      <c r="B27" s="1474"/>
      <c r="C27" s="1474"/>
      <c r="D27" s="1474"/>
      <c r="E27" s="530"/>
      <c r="F27" s="530"/>
      <c r="G27" s="530"/>
      <c r="H27" s="530"/>
      <c r="I27" s="530"/>
      <c r="J27" s="530"/>
      <c r="K27" s="530"/>
      <c r="L27" s="530"/>
      <c r="M27" s="530"/>
      <c r="N27" s="530"/>
      <c r="O27" s="530"/>
      <c r="P27" s="530"/>
      <c r="Q27" s="530"/>
      <c r="R27" s="530"/>
    </row>
    <row r="28" spans="1:22" x14ac:dyDescent="0.2">
      <c r="A28" s="530"/>
      <c r="B28" s="530"/>
      <c r="C28" s="530"/>
      <c r="D28" s="530"/>
      <c r="E28" s="530"/>
      <c r="F28" s="530"/>
      <c r="G28" s="530"/>
      <c r="H28" s="530"/>
      <c r="I28" s="530"/>
      <c r="J28" s="530"/>
      <c r="K28" s="530"/>
      <c r="L28" s="530"/>
      <c r="M28" s="530"/>
      <c r="N28" s="530"/>
      <c r="O28" s="530"/>
      <c r="P28" s="530"/>
      <c r="Q28" s="530"/>
      <c r="R28" s="530"/>
    </row>
    <row r="29" spans="1:22" x14ac:dyDescent="0.2">
      <c r="A29" s="530"/>
      <c r="B29" s="530"/>
      <c r="C29" s="530"/>
      <c r="D29" s="530"/>
      <c r="E29" s="530"/>
      <c r="F29" s="530"/>
      <c r="G29" s="530"/>
      <c r="H29" s="530"/>
      <c r="I29" s="530"/>
      <c r="J29" s="530"/>
      <c r="K29" s="530"/>
      <c r="L29" s="530"/>
      <c r="M29" s="530"/>
      <c r="N29" s="530"/>
      <c r="O29" s="530"/>
      <c r="P29" s="530"/>
      <c r="Q29" s="530"/>
      <c r="R29" s="530"/>
    </row>
    <row r="30" spans="1:22" x14ac:dyDescent="0.2">
      <c r="A30" s="530"/>
      <c r="B30" s="530"/>
      <c r="C30" s="530"/>
      <c r="D30" s="530"/>
      <c r="E30" s="530"/>
      <c r="F30" s="530"/>
      <c r="G30" s="530"/>
      <c r="H30" s="530"/>
      <c r="I30" s="530"/>
      <c r="J30" s="530"/>
      <c r="K30" s="530"/>
      <c r="L30" s="530"/>
      <c r="M30" s="530"/>
      <c r="N30" s="530"/>
      <c r="O30" s="530"/>
      <c r="P30" s="530"/>
      <c r="Q30" s="530"/>
      <c r="R30" s="530"/>
    </row>
    <row r="31" spans="1:22" x14ac:dyDescent="0.2">
      <c r="A31" s="530"/>
      <c r="B31" s="530"/>
      <c r="C31" s="530"/>
      <c r="D31" s="530"/>
      <c r="E31" s="530"/>
      <c r="F31" s="530"/>
      <c r="G31" s="530"/>
      <c r="H31" s="530"/>
      <c r="I31" s="530"/>
      <c r="J31" s="530"/>
      <c r="K31" s="530"/>
      <c r="L31" s="530"/>
      <c r="M31" s="530"/>
      <c r="N31" s="530"/>
      <c r="O31" s="530"/>
      <c r="P31" s="530"/>
      <c r="Q31" s="530"/>
      <c r="R31" s="530"/>
    </row>
    <row r="32" spans="1:22" x14ac:dyDescent="0.2">
      <c r="A32" s="530"/>
      <c r="B32" s="530"/>
      <c r="C32" s="530"/>
      <c r="D32" s="530"/>
      <c r="E32" s="530"/>
      <c r="F32" s="530"/>
      <c r="G32" s="530"/>
      <c r="H32" s="530"/>
      <c r="I32" s="530"/>
      <c r="J32" s="530"/>
      <c r="K32" s="530"/>
      <c r="L32" s="530"/>
      <c r="M32" s="530"/>
      <c r="N32" s="530"/>
      <c r="O32" s="530"/>
      <c r="P32" s="530"/>
      <c r="Q32" s="530"/>
      <c r="R32" s="530"/>
    </row>
    <row r="33" spans="1:18" x14ac:dyDescent="0.2">
      <c r="A33" s="11"/>
      <c r="B33" s="11"/>
      <c r="C33" s="11"/>
    </row>
    <row r="34" spans="1:18" x14ac:dyDescent="0.2">
      <c r="A34" s="11" t="s">
        <v>11</v>
      </c>
      <c r="D34" s="11"/>
      <c r="E34" s="11"/>
      <c r="H34" s="11"/>
      <c r="I34" s="11"/>
      <c r="J34" s="11"/>
      <c r="K34" s="11"/>
      <c r="L34" s="11"/>
      <c r="M34" s="11"/>
      <c r="N34" s="11"/>
      <c r="O34" s="11"/>
      <c r="P34" s="11"/>
      <c r="Q34" s="1161" t="s">
        <v>12</v>
      </c>
      <c r="R34" s="1161"/>
    </row>
    <row r="35" spans="1:18" ht="12.75" customHeight="1" x14ac:dyDescent="0.2">
      <c r="G35" s="11"/>
      <c r="H35" s="1473" t="s">
        <v>13</v>
      </c>
      <c r="I35" s="1473"/>
      <c r="J35" s="1473"/>
      <c r="K35" s="1473"/>
      <c r="L35" s="1473"/>
      <c r="M35" s="1473"/>
      <c r="N35" s="1473"/>
      <c r="O35" s="1473"/>
      <c r="P35" s="1473"/>
      <c r="Q35" s="1473"/>
      <c r="R35" s="1473"/>
    </row>
    <row r="36" spans="1:18" ht="12.75" customHeight="1" x14ac:dyDescent="0.2">
      <c r="G36" s="1473" t="s">
        <v>87</v>
      </c>
      <c r="H36" s="1473"/>
      <c r="I36" s="1473"/>
      <c r="J36" s="1473"/>
      <c r="K36" s="1473"/>
      <c r="L36" s="1473"/>
      <c r="M36" s="1473"/>
      <c r="N36" s="1473"/>
      <c r="O36" s="1473"/>
      <c r="P36" s="1473"/>
      <c r="Q36" s="1473"/>
      <c r="R36" s="1473"/>
    </row>
    <row r="37" spans="1:18" x14ac:dyDescent="0.2">
      <c r="A37" s="11"/>
      <c r="B37" s="11"/>
      <c r="H37" s="11"/>
      <c r="I37" s="11"/>
      <c r="J37" s="11"/>
      <c r="K37" s="11"/>
      <c r="L37" s="11"/>
      <c r="M37" s="11"/>
      <c r="N37" s="11"/>
      <c r="O37" s="11"/>
      <c r="P37" s="11"/>
      <c r="Q37" s="11"/>
      <c r="R37" s="11" t="s">
        <v>84</v>
      </c>
    </row>
    <row r="39" spans="1:18" x14ac:dyDescent="0.2">
      <c r="A39" s="1157"/>
      <c r="B39" s="1157"/>
      <c r="C39" s="1157"/>
      <c r="D39" s="1157"/>
      <c r="E39" s="1157"/>
      <c r="F39" s="1157"/>
      <c r="G39" s="1157"/>
      <c r="H39" s="1157"/>
      <c r="I39" s="1157"/>
      <c r="J39" s="1157"/>
      <c r="K39" s="1157"/>
      <c r="L39" s="1157"/>
      <c r="M39" s="1157"/>
      <c r="N39" s="1157"/>
      <c r="O39" s="1157"/>
      <c r="P39" s="1157"/>
      <c r="Q39" s="1157"/>
      <c r="R39" s="1157"/>
    </row>
  </sheetData>
  <mergeCells count="23">
    <mergeCell ref="D8:F8"/>
    <mergeCell ref="G36:R36"/>
    <mergeCell ref="H35:R35"/>
    <mergeCell ref="A39:R39"/>
    <mergeCell ref="Q34:R34"/>
    <mergeCell ref="A27:D27"/>
    <mergeCell ref="C9:V21"/>
    <mergeCell ref="D22:F22"/>
    <mergeCell ref="D1:G1"/>
    <mergeCell ref="U1:V1"/>
    <mergeCell ref="A5:C5"/>
    <mergeCell ref="I5:R5"/>
    <mergeCell ref="A6:A7"/>
    <mergeCell ref="B6:B7"/>
    <mergeCell ref="D6:F7"/>
    <mergeCell ref="G6:J6"/>
    <mergeCell ref="K6:N6"/>
    <mergeCell ref="C6:C7"/>
    <mergeCell ref="U6:V6"/>
    <mergeCell ref="A4:V4"/>
    <mergeCell ref="O6:T6"/>
    <mergeCell ref="A3:V3"/>
    <mergeCell ref="A2:V2"/>
  </mergeCells>
  <printOptions horizontalCentered="1"/>
  <pageMargins left="0.22" right="0.18" top="0.23622047244094491" bottom="0" header="0.31496062992125984" footer="0.31496062992125984"/>
  <pageSetup paperSize="9" scale="71"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5" tint="0.39997558519241921"/>
    <pageSetUpPr fitToPage="1"/>
  </sheetPr>
  <dimension ref="A1:V39"/>
  <sheetViews>
    <sheetView view="pageBreakPreview" zoomScale="90" zoomScaleSheetLayoutView="90" workbookViewId="0">
      <selection activeCell="C9" sqref="C9:V21"/>
    </sheetView>
  </sheetViews>
  <sheetFormatPr defaultRowHeight="12.75" x14ac:dyDescent="0.2"/>
  <cols>
    <col min="1" max="1" width="6.5703125" style="689" customWidth="1"/>
    <col min="2" max="2" width="15.42578125" style="689" customWidth="1"/>
    <col min="3" max="3" width="17.85546875" style="689" customWidth="1"/>
    <col min="4" max="4" width="10.85546875" style="689" customWidth="1"/>
    <col min="5" max="5" width="4.5703125" style="689" customWidth="1"/>
    <col min="6" max="6" width="0.28515625" style="689" hidden="1" customWidth="1"/>
    <col min="7" max="7" width="8.7109375" style="689" customWidth="1"/>
    <col min="8" max="8" width="8" style="689" customWidth="1"/>
    <col min="9" max="14" width="8.140625" style="689" customWidth="1"/>
    <col min="15" max="20" width="10" style="689" customWidth="1"/>
    <col min="21" max="21" width="11.7109375" style="689" customWidth="1"/>
    <col min="22" max="22" width="14.28515625" style="689" customWidth="1"/>
    <col min="23" max="16384" width="9.140625" style="689"/>
  </cols>
  <sheetData>
    <row r="1" spans="1:22" ht="15" x14ac:dyDescent="0.2">
      <c r="D1" s="1037"/>
      <c r="E1" s="1037"/>
      <c r="F1" s="1037"/>
      <c r="G1" s="1037"/>
      <c r="U1" s="1237" t="s">
        <v>676</v>
      </c>
      <c r="V1" s="1237"/>
    </row>
    <row r="2" spans="1:22" ht="15.75" x14ac:dyDescent="0.25">
      <c r="A2" s="1131" t="s">
        <v>0</v>
      </c>
      <c r="B2" s="1131"/>
      <c r="C2" s="1131"/>
      <c r="D2" s="1131"/>
      <c r="E2" s="1131"/>
      <c r="F2" s="1131"/>
      <c r="G2" s="1131"/>
      <c r="H2" s="1131"/>
      <c r="I2" s="1131"/>
      <c r="J2" s="1131"/>
      <c r="K2" s="1131"/>
      <c r="L2" s="1131"/>
      <c r="M2" s="1131"/>
      <c r="N2" s="1131"/>
      <c r="O2" s="1131"/>
      <c r="P2" s="1131"/>
      <c r="Q2" s="1131"/>
      <c r="R2" s="1131"/>
      <c r="S2" s="1131"/>
      <c r="T2" s="1131"/>
      <c r="U2" s="1131"/>
      <c r="V2" s="1131"/>
    </row>
    <row r="3" spans="1:22" ht="15.75" x14ac:dyDescent="0.25">
      <c r="A3" s="1131" t="s">
        <v>788</v>
      </c>
      <c r="B3" s="1131"/>
      <c r="C3" s="1131"/>
      <c r="D3" s="1131"/>
      <c r="E3" s="1131"/>
      <c r="F3" s="1131"/>
      <c r="G3" s="1131"/>
      <c r="H3" s="1131"/>
      <c r="I3" s="1131"/>
      <c r="J3" s="1131"/>
      <c r="K3" s="1131"/>
      <c r="L3" s="1131"/>
      <c r="M3" s="1131"/>
      <c r="N3" s="1131"/>
      <c r="O3" s="1131"/>
      <c r="P3" s="1131"/>
      <c r="Q3" s="1131"/>
      <c r="R3" s="1131"/>
      <c r="S3" s="1131"/>
      <c r="T3" s="1131"/>
      <c r="U3" s="1131"/>
      <c r="V3" s="1131"/>
    </row>
    <row r="4" spans="1:22" s="48" customFormat="1" ht="15.75" customHeight="1" x14ac:dyDescent="0.25">
      <c r="A4" s="1181" t="s">
        <v>824</v>
      </c>
      <c r="B4" s="1181"/>
      <c r="C4" s="1181"/>
      <c r="D4" s="1181"/>
      <c r="E4" s="1181"/>
      <c r="F4" s="1181"/>
      <c r="G4" s="1181"/>
      <c r="H4" s="1181"/>
      <c r="I4" s="1181"/>
      <c r="J4" s="1181"/>
      <c r="K4" s="1181"/>
      <c r="L4" s="1181"/>
      <c r="M4" s="1181"/>
      <c r="N4" s="1181"/>
      <c r="O4" s="1181"/>
      <c r="P4" s="1181"/>
      <c r="Q4" s="1181"/>
      <c r="R4" s="1181"/>
      <c r="S4" s="1181"/>
      <c r="T4" s="1181"/>
      <c r="U4" s="1181"/>
      <c r="V4" s="1181"/>
    </row>
    <row r="5" spans="1:22" ht="21.75" customHeight="1" x14ac:dyDescent="0.2">
      <c r="A5" s="1236" t="s">
        <v>456</v>
      </c>
      <c r="B5" s="1236"/>
      <c r="C5" s="1236"/>
      <c r="D5" s="690"/>
      <c r="E5" s="690"/>
      <c r="I5" s="1480"/>
      <c r="J5" s="1480"/>
      <c r="K5" s="1480"/>
      <c r="L5" s="1480"/>
      <c r="M5" s="1480"/>
      <c r="N5" s="1480"/>
      <c r="O5" s="1480"/>
      <c r="P5" s="1480"/>
      <c r="Q5" s="1480"/>
      <c r="R5" s="1480"/>
    </row>
    <row r="6" spans="1:22" ht="30.75" customHeight="1" x14ac:dyDescent="0.2">
      <c r="A6" s="1136" t="s">
        <v>2</v>
      </c>
      <c r="B6" s="1136" t="s">
        <v>3</v>
      </c>
      <c r="C6" s="1136" t="s">
        <v>672</v>
      </c>
      <c r="D6" s="1221" t="s">
        <v>85</v>
      </c>
      <c r="E6" s="1222"/>
      <c r="F6" s="1223"/>
      <c r="G6" s="1165" t="s">
        <v>86</v>
      </c>
      <c r="H6" s="1166"/>
      <c r="I6" s="1166"/>
      <c r="J6" s="1167"/>
      <c r="K6" s="1165" t="s">
        <v>95</v>
      </c>
      <c r="L6" s="1166"/>
      <c r="M6" s="1166"/>
      <c r="N6" s="1167"/>
      <c r="O6" s="1145" t="s">
        <v>755</v>
      </c>
      <c r="P6" s="1145"/>
      <c r="Q6" s="1145"/>
      <c r="R6" s="1145"/>
      <c r="S6" s="1145"/>
      <c r="T6" s="1145"/>
      <c r="U6" s="1475" t="s">
        <v>838</v>
      </c>
      <c r="V6" s="1475"/>
    </row>
    <row r="7" spans="1:22" ht="45.75" customHeight="1" x14ac:dyDescent="0.2">
      <c r="A7" s="1137"/>
      <c r="B7" s="1137"/>
      <c r="C7" s="1137"/>
      <c r="D7" s="1389"/>
      <c r="E7" s="1481"/>
      <c r="F7" s="1482"/>
      <c r="G7" s="691" t="s">
        <v>194</v>
      </c>
      <c r="H7" s="691" t="s">
        <v>119</v>
      </c>
      <c r="I7" s="691" t="s">
        <v>120</v>
      </c>
      <c r="J7" s="291" t="s">
        <v>512</v>
      </c>
      <c r="K7" s="691" t="s">
        <v>147</v>
      </c>
      <c r="L7" s="691" t="s">
        <v>148</v>
      </c>
      <c r="M7" s="691" t="s">
        <v>149</v>
      </c>
      <c r="N7" s="291" t="s">
        <v>512</v>
      </c>
      <c r="O7" s="691" t="s">
        <v>749</v>
      </c>
      <c r="P7" s="691" t="s">
        <v>754</v>
      </c>
      <c r="Q7" s="691" t="s">
        <v>752</v>
      </c>
      <c r="R7" s="691" t="s">
        <v>753</v>
      </c>
      <c r="S7" s="691" t="s">
        <v>750</v>
      </c>
      <c r="T7" s="691" t="s">
        <v>751</v>
      </c>
      <c r="U7" s="805" t="s">
        <v>839</v>
      </c>
      <c r="V7" s="805" t="s">
        <v>840</v>
      </c>
    </row>
    <row r="8" spans="1:22" s="11" customFormat="1" ht="19.5" customHeight="1" x14ac:dyDescent="0.2">
      <c r="A8" s="688">
        <v>1</v>
      </c>
      <c r="B8" s="688">
        <v>2</v>
      </c>
      <c r="C8" s="688">
        <v>3</v>
      </c>
      <c r="D8" s="1165">
        <v>4</v>
      </c>
      <c r="E8" s="1166"/>
      <c r="F8" s="1167"/>
      <c r="G8" s="688">
        <v>5</v>
      </c>
      <c r="H8" s="688">
        <v>6</v>
      </c>
      <c r="I8" s="688">
        <v>7</v>
      </c>
      <c r="J8" s="688">
        <v>8</v>
      </c>
      <c r="K8" s="688">
        <v>9</v>
      </c>
      <c r="L8" s="688">
        <v>10</v>
      </c>
      <c r="M8" s="688">
        <v>11</v>
      </c>
      <c r="N8" s="688">
        <v>12</v>
      </c>
      <c r="O8" s="688">
        <v>13</v>
      </c>
      <c r="P8" s="688">
        <v>14</v>
      </c>
      <c r="Q8" s="688">
        <v>15</v>
      </c>
      <c r="R8" s="688">
        <v>16</v>
      </c>
      <c r="S8" s="688">
        <v>17</v>
      </c>
      <c r="T8" s="688">
        <v>18</v>
      </c>
      <c r="U8" s="806">
        <v>19</v>
      </c>
      <c r="V8" s="806">
        <v>20</v>
      </c>
    </row>
    <row r="9" spans="1:22" ht="21" customHeight="1" x14ac:dyDescent="0.2">
      <c r="A9" s="687">
        <v>1</v>
      </c>
      <c r="B9" s="358" t="s">
        <v>386</v>
      </c>
      <c r="C9" s="1483" t="s">
        <v>400</v>
      </c>
      <c r="D9" s="1484"/>
      <c r="E9" s="1484"/>
      <c r="F9" s="1484"/>
      <c r="G9" s="1484"/>
      <c r="H9" s="1484"/>
      <c r="I9" s="1484"/>
      <c r="J9" s="1484"/>
      <c r="K9" s="1484"/>
      <c r="L9" s="1484"/>
      <c r="M9" s="1484"/>
      <c r="N9" s="1484"/>
      <c r="O9" s="1484"/>
      <c r="P9" s="1484"/>
      <c r="Q9" s="1484"/>
      <c r="R9" s="1484"/>
      <c r="S9" s="1484"/>
      <c r="T9" s="1484"/>
      <c r="U9" s="1484"/>
      <c r="V9" s="1485"/>
    </row>
    <row r="10" spans="1:22" ht="21" customHeight="1" x14ac:dyDescent="0.2">
      <c r="A10" s="687">
        <v>2</v>
      </c>
      <c r="B10" s="358" t="s">
        <v>387</v>
      </c>
      <c r="C10" s="1486"/>
      <c r="D10" s="1487"/>
      <c r="E10" s="1487"/>
      <c r="F10" s="1487"/>
      <c r="G10" s="1487"/>
      <c r="H10" s="1487"/>
      <c r="I10" s="1487"/>
      <c r="J10" s="1487"/>
      <c r="K10" s="1487"/>
      <c r="L10" s="1487"/>
      <c r="M10" s="1487"/>
      <c r="N10" s="1487"/>
      <c r="O10" s="1487"/>
      <c r="P10" s="1487"/>
      <c r="Q10" s="1487"/>
      <c r="R10" s="1487"/>
      <c r="S10" s="1487"/>
      <c r="T10" s="1487"/>
      <c r="U10" s="1487"/>
      <c r="V10" s="1488"/>
    </row>
    <row r="11" spans="1:22" ht="21" customHeight="1" x14ac:dyDescent="0.2">
      <c r="A11" s="687">
        <v>3</v>
      </c>
      <c r="B11" s="358" t="s">
        <v>388</v>
      </c>
      <c r="C11" s="1486"/>
      <c r="D11" s="1487"/>
      <c r="E11" s="1487"/>
      <c r="F11" s="1487"/>
      <c r="G11" s="1487"/>
      <c r="H11" s="1487"/>
      <c r="I11" s="1487"/>
      <c r="J11" s="1487"/>
      <c r="K11" s="1487"/>
      <c r="L11" s="1487"/>
      <c r="M11" s="1487"/>
      <c r="N11" s="1487"/>
      <c r="O11" s="1487"/>
      <c r="P11" s="1487"/>
      <c r="Q11" s="1487"/>
      <c r="R11" s="1487"/>
      <c r="S11" s="1487"/>
      <c r="T11" s="1487"/>
      <c r="U11" s="1487"/>
      <c r="V11" s="1488"/>
    </row>
    <row r="12" spans="1:22" ht="21" customHeight="1" x14ac:dyDescent="0.2">
      <c r="A12" s="687">
        <v>4</v>
      </c>
      <c r="B12" s="358" t="s">
        <v>389</v>
      </c>
      <c r="C12" s="1486"/>
      <c r="D12" s="1487"/>
      <c r="E12" s="1487"/>
      <c r="F12" s="1487"/>
      <c r="G12" s="1487"/>
      <c r="H12" s="1487"/>
      <c r="I12" s="1487"/>
      <c r="J12" s="1487"/>
      <c r="K12" s="1487"/>
      <c r="L12" s="1487"/>
      <c r="M12" s="1487"/>
      <c r="N12" s="1487"/>
      <c r="O12" s="1487"/>
      <c r="P12" s="1487"/>
      <c r="Q12" s="1487"/>
      <c r="R12" s="1487"/>
      <c r="S12" s="1487"/>
      <c r="T12" s="1487"/>
      <c r="U12" s="1487"/>
      <c r="V12" s="1488"/>
    </row>
    <row r="13" spans="1:22" ht="21" customHeight="1" x14ac:dyDescent="0.2">
      <c r="A13" s="687">
        <v>5</v>
      </c>
      <c r="B13" s="359" t="s">
        <v>390</v>
      </c>
      <c r="C13" s="1486"/>
      <c r="D13" s="1487"/>
      <c r="E13" s="1487"/>
      <c r="F13" s="1487"/>
      <c r="G13" s="1487"/>
      <c r="H13" s="1487"/>
      <c r="I13" s="1487"/>
      <c r="J13" s="1487"/>
      <c r="K13" s="1487"/>
      <c r="L13" s="1487"/>
      <c r="M13" s="1487"/>
      <c r="N13" s="1487"/>
      <c r="O13" s="1487"/>
      <c r="P13" s="1487"/>
      <c r="Q13" s="1487"/>
      <c r="R13" s="1487"/>
      <c r="S13" s="1487"/>
      <c r="T13" s="1487"/>
      <c r="U13" s="1487"/>
      <c r="V13" s="1488"/>
    </row>
    <row r="14" spans="1:22" ht="21" customHeight="1" x14ac:dyDescent="0.2">
      <c r="A14" s="687">
        <v>6</v>
      </c>
      <c r="B14" s="358" t="s">
        <v>391</v>
      </c>
      <c r="C14" s="1486"/>
      <c r="D14" s="1487"/>
      <c r="E14" s="1487"/>
      <c r="F14" s="1487"/>
      <c r="G14" s="1487"/>
      <c r="H14" s="1487"/>
      <c r="I14" s="1487"/>
      <c r="J14" s="1487"/>
      <c r="K14" s="1487"/>
      <c r="L14" s="1487"/>
      <c r="M14" s="1487"/>
      <c r="N14" s="1487"/>
      <c r="O14" s="1487"/>
      <c r="P14" s="1487"/>
      <c r="Q14" s="1487"/>
      <c r="R14" s="1487"/>
      <c r="S14" s="1487"/>
      <c r="T14" s="1487"/>
      <c r="U14" s="1487"/>
      <c r="V14" s="1488"/>
    </row>
    <row r="15" spans="1:22" ht="21" customHeight="1" x14ac:dyDescent="0.2">
      <c r="A15" s="687">
        <v>7</v>
      </c>
      <c r="B15" s="359" t="s">
        <v>392</v>
      </c>
      <c r="C15" s="1486"/>
      <c r="D15" s="1487"/>
      <c r="E15" s="1487"/>
      <c r="F15" s="1487"/>
      <c r="G15" s="1487"/>
      <c r="H15" s="1487"/>
      <c r="I15" s="1487"/>
      <c r="J15" s="1487"/>
      <c r="K15" s="1487"/>
      <c r="L15" s="1487"/>
      <c r="M15" s="1487"/>
      <c r="N15" s="1487"/>
      <c r="O15" s="1487"/>
      <c r="P15" s="1487"/>
      <c r="Q15" s="1487"/>
      <c r="R15" s="1487"/>
      <c r="S15" s="1487"/>
      <c r="T15" s="1487"/>
      <c r="U15" s="1487"/>
      <c r="V15" s="1488"/>
    </row>
    <row r="16" spans="1:22" ht="21" customHeight="1" x14ac:dyDescent="0.2">
      <c r="A16" s="687">
        <v>8</v>
      </c>
      <c r="B16" s="358" t="s">
        <v>393</v>
      </c>
      <c r="C16" s="1486"/>
      <c r="D16" s="1487"/>
      <c r="E16" s="1487"/>
      <c r="F16" s="1487"/>
      <c r="G16" s="1487"/>
      <c r="H16" s="1487"/>
      <c r="I16" s="1487"/>
      <c r="J16" s="1487"/>
      <c r="K16" s="1487"/>
      <c r="L16" s="1487"/>
      <c r="M16" s="1487"/>
      <c r="N16" s="1487"/>
      <c r="O16" s="1487"/>
      <c r="P16" s="1487"/>
      <c r="Q16" s="1487"/>
      <c r="R16" s="1487"/>
      <c r="S16" s="1487"/>
      <c r="T16" s="1487"/>
      <c r="U16" s="1487"/>
      <c r="V16" s="1488"/>
    </row>
    <row r="17" spans="1:22" ht="21" customHeight="1" x14ac:dyDescent="0.2">
      <c r="A17" s="687">
        <v>9</v>
      </c>
      <c r="B17" s="358" t="s">
        <v>394</v>
      </c>
      <c r="C17" s="1486"/>
      <c r="D17" s="1487"/>
      <c r="E17" s="1487"/>
      <c r="F17" s="1487"/>
      <c r="G17" s="1487"/>
      <c r="H17" s="1487"/>
      <c r="I17" s="1487"/>
      <c r="J17" s="1487"/>
      <c r="K17" s="1487"/>
      <c r="L17" s="1487"/>
      <c r="M17" s="1487"/>
      <c r="N17" s="1487"/>
      <c r="O17" s="1487"/>
      <c r="P17" s="1487"/>
      <c r="Q17" s="1487"/>
      <c r="R17" s="1487"/>
      <c r="S17" s="1487"/>
      <c r="T17" s="1487"/>
      <c r="U17" s="1487"/>
      <c r="V17" s="1488"/>
    </row>
    <row r="18" spans="1:22" ht="21" customHeight="1" x14ac:dyDescent="0.2">
      <c r="A18" s="687">
        <v>10</v>
      </c>
      <c r="B18" s="358" t="s">
        <v>395</v>
      </c>
      <c r="C18" s="1486"/>
      <c r="D18" s="1487"/>
      <c r="E18" s="1487"/>
      <c r="F18" s="1487"/>
      <c r="G18" s="1487"/>
      <c r="H18" s="1487"/>
      <c r="I18" s="1487"/>
      <c r="J18" s="1487"/>
      <c r="K18" s="1487"/>
      <c r="L18" s="1487"/>
      <c r="M18" s="1487"/>
      <c r="N18" s="1487"/>
      <c r="O18" s="1487"/>
      <c r="P18" s="1487"/>
      <c r="Q18" s="1487"/>
      <c r="R18" s="1487"/>
      <c r="S18" s="1487"/>
      <c r="T18" s="1487"/>
      <c r="U18" s="1487"/>
      <c r="V18" s="1488"/>
    </row>
    <row r="19" spans="1:22" ht="21" customHeight="1" x14ac:dyDescent="0.2">
      <c r="A19" s="687">
        <v>11</v>
      </c>
      <c r="B19" s="358" t="s">
        <v>396</v>
      </c>
      <c r="C19" s="1486"/>
      <c r="D19" s="1487"/>
      <c r="E19" s="1487"/>
      <c r="F19" s="1487"/>
      <c r="G19" s="1487"/>
      <c r="H19" s="1487"/>
      <c r="I19" s="1487"/>
      <c r="J19" s="1487"/>
      <c r="K19" s="1487"/>
      <c r="L19" s="1487"/>
      <c r="M19" s="1487"/>
      <c r="N19" s="1487"/>
      <c r="O19" s="1487"/>
      <c r="P19" s="1487"/>
      <c r="Q19" s="1487"/>
      <c r="R19" s="1487"/>
      <c r="S19" s="1487"/>
      <c r="T19" s="1487"/>
      <c r="U19" s="1487"/>
      <c r="V19" s="1488"/>
    </row>
    <row r="20" spans="1:22" ht="21" customHeight="1" x14ac:dyDescent="0.2">
      <c r="A20" s="687">
        <v>12</v>
      </c>
      <c r="B20" s="358" t="s">
        <v>397</v>
      </c>
      <c r="C20" s="1486"/>
      <c r="D20" s="1487"/>
      <c r="E20" s="1487"/>
      <c r="F20" s="1487"/>
      <c r="G20" s="1487"/>
      <c r="H20" s="1487"/>
      <c r="I20" s="1487"/>
      <c r="J20" s="1487"/>
      <c r="K20" s="1487"/>
      <c r="L20" s="1487"/>
      <c r="M20" s="1487"/>
      <c r="N20" s="1487"/>
      <c r="O20" s="1487"/>
      <c r="P20" s="1487"/>
      <c r="Q20" s="1487"/>
      <c r="R20" s="1487"/>
      <c r="S20" s="1487"/>
      <c r="T20" s="1487"/>
      <c r="U20" s="1487"/>
      <c r="V20" s="1488"/>
    </row>
    <row r="21" spans="1:22" ht="21" customHeight="1" x14ac:dyDescent="0.2">
      <c r="A21" s="687">
        <v>13</v>
      </c>
      <c r="B21" s="358" t="s">
        <v>398</v>
      </c>
      <c r="C21" s="1489"/>
      <c r="D21" s="1490"/>
      <c r="E21" s="1490"/>
      <c r="F21" s="1490"/>
      <c r="G21" s="1490"/>
      <c r="H21" s="1490"/>
      <c r="I21" s="1490"/>
      <c r="J21" s="1490"/>
      <c r="K21" s="1490"/>
      <c r="L21" s="1490"/>
      <c r="M21" s="1490"/>
      <c r="N21" s="1490"/>
      <c r="O21" s="1490"/>
      <c r="P21" s="1490"/>
      <c r="Q21" s="1490"/>
      <c r="R21" s="1490"/>
      <c r="S21" s="1490"/>
      <c r="T21" s="1490"/>
      <c r="U21" s="1490"/>
      <c r="V21" s="1491"/>
    </row>
    <row r="22" spans="1:22" ht="21" customHeight="1" x14ac:dyDescent="0.2">
      <c r="A22" s="687" t="s">
        <v>18</v>
      </c>
      <c r="B22" s="212"/>
      <c r="C22" s="253"/>
      <c r="D22" s="1492"/>
      <c r="E22" s="1493"/>
      <c r="F22" s="1494"/>
      <c r="G22" s="253"/>
      <c r="H22" s="253"/>
      <c r="I22" s="253"/>
      <c r="J22" s="253"/>
      <c r="K22" s="253"/>
      <c r="L22" s="253"/>
      <c r="M22" s="253"/>
      <c r="N22" s="253"/>
      <c r="O22" s="253"/>
      <c r="P22" s="253"/>
      <c r="Q22" s="253"/>
      <c r="R22" s="253"/>
      <c r="S22" s="14"/>
      <c r="T22" s="14"/>
      <c r="U22" s="14"/>
      <c r="V22" s="19"/>
    </row>
    <row r="23" spans="1:22" x14ac:dyDescent="0.2">
      <c r="A23" s="16"/>
      <c r="B23" s="16"/>
      <c r="C23" s="16"/>
      <c r="D23" s="16"/>
      <c r="E23" s="16"/>
    </row>
    <row r="24" spans="1:22" x14ac:dyDescent="0.2">
      <c r="A24" s="347" t="s">
        <v>7</v>
      </c>
      <c r="B24" s="348"/>
      <c r="C24" s="348"/>
      <c r="D24" s="349"/>
      <c r="E24" s="530"/>
      <c r="F24" s="530"/>
      <c r="G24" s="530"/>
      <c r="H24" s="530"/>
      <c r="I24" s="530"/>
      <c r="J24" s="530"/>
      <c r="K24" s="530"/>
      <c r="L24" s="530"/>
      <c r="M24" s="530"/>
      <c r="N24" s="530"/>
      <c r="O24" s="530"/>
      <c r="P24" s="530"/>
      <c r="Q24" s="530"/>
      <c r="R24" s="530"/>
    </row>
    <row r="25" spans="1:22" x14ac:dyDescent="0.2">
      <c r="A25" s="351" t="s">
        <v>8</v>
      </c>
      <c r="B25" s="351"/>
      <c r="C25" s="351"/>
      <c r="D25" s="350"/>
      <c r="E25" s="530"/>
      <c r="F25" s="530"/>
      <c r="G25" s="530"/>
      <c r="H25" s="530"/>
      <c r="I25" s="530"/>
      <c r="J25" s="530"/>
      <c r="K25" s="530"/>
      <c r="L25" s="530"/>
      <c r="M25" s="530"/>
      <c r="N25" s="530"/>
      <c r="O25" s="530"/>
      <c r="P25" s="530"/>
      <c r="Q25" s="530"/>
      <c r="R25" s="530"/>
    </row>
    <row r="26" spans="1:22" x14ac:dyDescent="0.2">
      <c r="A26" s="351" t="s">
        <v>9</v>
      </c>
      <c r="B26" s="351"/>
      <c r="C26" s="351"/>
      <c r="D26" s="350"/>
      <c r="E26" s="530"/>
      <c r="F26" s="530"/>
      <c r="G26" s="530"/>
      <c r="H26" s="530"/>
      <c r="I26" s="530"/>
      <c r="J26" s="530"/>
      <c r="K26" s="530"/>
      <c r="L26" s="530"/>
      <c r="M26" s="530"/>
      <c r="N26" s="530"/>
      <c r="O26" s="530"/>
      <c r="P26" s="530"/>
      <c r="Q26" s="530"/>
      <c r="R26" s="530"/>
    </row>
    <row r="27" spans="1:22" x14ac:dyDescent="0.2">
      <c r="A27" s="1474" t="s">
        <v>233</v>
      </c>
      <c r="B27" s="1474"/>
      <c r="C27" s="1474"/>
      <c r="D27" s="1474"/>
      <c r="E27" s="530"/>
      <c r="F27" s="530"/>
      <c r="G27" s="530"/>
      <c r="H27" s="530"/>
      <c r="I27" s="530"/>
      <c r="J27" s="530"/>
      <c r="K27" s="530"/>
      <c r="L27" s="530"/>
      <c r="M27" s="530"/>
      <c r="N27" s="530"/>
      <c r="O27" s="530"/>
      <c r="P27" s="530"/>
      <c r="Q27" s="530"/>
      <c r="R27" s="530"/>
    </row>
    <row r="28" spans="1:22" x14ac:dyDescent="0.2">
      <c r="A28" s="530"/>
      <c r="B28" s="530"/>
      <c r="C28" s="530"/>
      <c r="D28" s="530"/>
      <c r="E28" s="530"/>
      <c r="F28" s="530"/>
      <c r="G28" s="530"/>
      <c r="H28" s="530"/>
      <c r="I28" s="530"/>
      <c r="J28" s="530"/>
      <c r="K28" s="530"/>
      <c r="L28" s="530"/>
      <c r="M28" s="530"/>
      <c r="N28" s="530"/>
      <c r="O28" s="530"/>
      <c r="P28" s="530"/>
      <c r="Q28" s="530"/>
      <c r="R28" s="530"/>
    </row>
    <row r="29" spans="1:22" x14ac:dyDescent="0.2">
      <c r="A29" s="530"/>
      <c r="B29" s="530"/>
      <c r="C29" s="530"/>
      <c r="D29" s="530"/>
      <c r="E29" s="530"/>
      <c r="F29" s="530"/>
      <c r="G29" s="530"/>
      <c r="H29" s="530"/>
      <c r="I29" s="530"/>
      <c r="J29" s="530"/>
      <c r="K29" s="530"/>
      <c r="L29" s="530"/>
      <c r="M29" s="530"/>
      <c r="N29" s="530"/>
      <c r="O29" s="530"/>
      <c r="P29" s="530"/>
      <c r="Q29" s="530"/>
      <c r="R29" s="530"/>
    </row>
    <row r="30" spans="1:22" x14ac:dyDescent="0.2">
      <c r="A30" s="530"/>
      <c r="B30" s="530"/>
      <c r="C30" s="530"/>
      <c r="D30" s="530"/>
      <c r="E30" s="530"/>
      <c r="F30" s="530"/>
      <c r="G30" s="530"/>
      <c r="H30" s="530"/>
      <c r="I30" s="530"/>
      <c r="J30" s="530"/>
      <c r="K30" s="530"/>
      <c r="L30" s="530"/>
      <c r="M30" s="530"/>
      <c r="N30" s="530"/>
      <c r="O30" s="530"/>
      <c r="P30" s="530"/>
      <c r="Q30" s="530"/>
      <c r="R30" s="530"/>
    </row>
    <row r="31" spans="1:22" x14ac:dyDescent="0.2">
      <c r="A31" s="530"/>
      <c r="B31" s="530"/>
      <c r="C31" s="530"/>
      <c r="D31" s="530"/>
      <c r="E31" s="530"/>
      <c r="F31" s="530"/>
      <c r="G31" s="530"/>
      <c r="H31" s="530"/>
      <c r="I31" s="530"/>
      <c r="J31" s="530"/>
      <c r="K31" s="530"/>
      <c r="L31" s="530"/>
      <c r="M31" s="530"/>
      <c r="N31" s="530"/>
      <c r="O31" s="530"/>
      <c r="P31" s="530"/>
      <c r="Q31" s="530"/>
      <c r="R31" s="530"/>
    </row>
    <row r="32" spans="1:22" x14ac:dyDescent="0.2">
      <c r="A32" s="530"/>
      <c r="B32" s="530"/>
      <c r="C32" s="530"/>
      <c r="D32" s="530"/>
      <c r="E32" s="530"/>
      <c r="F32" s="530"/>
      <c r="G32" s="530"/>
      <c r="H32" s="530"/>
      <c r="I32" s="530"/>
      <c r="J32" s="530"/>
      <c r="K32" s="530"/>
      <c r="L32" s="530"/>
      <c r="M32" s="530"/>
      <c r="N32" s="530"/>
      <c r="O32" s="530"/>
      <c r="P32" s="530"/>
      <c r="Q32" s="530"/>
      <c r="R32" s="530"/>
    </row>
    <row r="33" spans="1:18" x14ac:dyDescent="0.2">
      <c r="A33" s="11"/>
      <c r="B33" s="11"/>
      <c r="C33" s="11"/>
    </row>
    <row r="34" spans="1:18" x14ac:dyDescent="0.2">
      <c r="A34" s="11" t="s">
        <v>11</v>
      </c>
      <c r="D34" s="11"/>
      <c r="E34" s="11"/>
      <c r="H34" s="11"/>
      <c r="I34" s="11"/>
      <c r="J34" s="11"/>
      <c r="K34" s="11"/>
      <c r="L34" s="11"/>
      <c r="M34" s="11"/>
      <c r="N34" s="11"/>
      <c r="O34" s="11"/>
      <c r="P34" s="11"/>
      <c r="Q34" s="1161" t="s">
        <v>12</v>
      </c>
      <c r="R34" s="1161"/>
    </row>
    <row r="35" spans="1:18" ht="12.75" customHeight="1" x14ac:dyDescent="0.2">
      <c r="G35" s="11"/>
      <c r="H35" s="1473" t="s">
        <v>13</v>
      </c>
      <c r="I35" s="1473"/>
      <c r="J35" s="1473"/>
      <c r="K35" s="1473"/>
      <c r="L35" s="1473"/>
      <c r="M35" s="1473"/>
      <c r="N35" s="1473"/>
      <c r="O35" s="1473"/>
      <c r="P35" s="1473"/>
      <c r="Q35" s="1473"/>
      <c r="R35" s="1473"/>
    </row>
    <row r="36" spans="1:18" ht="12.75" customHeight="1" x14ac:dyDescent="0.2">
      <c r="G36" s="1473" t="s">
        <v>87</v>
      </c>
      <c r="H36" s="1473"/>
      <c r="I36" s="1473"/>
      <c r="J36" s="1473"/>
      <c r="K36" s="1473"/>
      <c r="L36" s="1473"/>
      <c r="M36" s="1473"/>
      <c r="N36" s="1473"/>
      <c r="O36" s="1473"/>
      <c r="P36" s="1473"/>
      <c r="Q36" s="1473"/>
      <c r="R36" s="1473"/>
    </row>
    <row r="37" spans="1:18" x14ac:dyDescent="0.2">
      <c r="A37" s="11"/>
      <c r="B37" s="11"/>
      <c r="H37" s="11"/>
      <c r="I37" s="11"/>
      <c r="J37" s="11"/>
      <c r="K37" s="11"/>
      <c r="L37" s="11"/>
      <c r="M37" s="11"/>
      <c r="N37" s="11"/>
      <c r="O37" s="11"/>
      <c r="P37" s="11"/>
      <c r="Q37" s="11"/>
      <c r="R37" s="11" t="s">
        <v>84</v>
      </c>
    </row>
    <row r="39" spans="1:18" x14ac:dyDescent="0.2">
      <c r="A39" s="1157"/>
      <c r="B39" s="1157"/>
      <c r="C39" s="1157"/>
      <c r="D39" s="1157"/>
      <c r="E39" s="1157"/>
      <c r="F39" s="1157"/>
      <c r="G39" s="1157"/>
      <c r="H39" s="1157"/>
      <c r="I39" s="1157"/>
      <c r="J39" s="1157"/>
      <c r="K39" s="1157"/>
      <c r="L39" s="1157"/>
      <c r="M39" s="1157"/>
      <c r="N39" s="1157"/>
      <c r="O39" s="1157"/>
      <c r="P39" s="1157"/>
      <c r="Q39" s="1157"/>
      <c r="R39" s="1157"/>
    </row>
  </sheetData>
  <mergeCells count="23">
    <mergeCell ref="U6:V6"/>
    <mergeCell ref="C9:V21"/>
    <mergeCell ref="A4:V4"/>
    <mergeCell ref="A3:V3"/>
    <mergeCell ref="A2:V2"/>
    <mergeCell ref="A5:C5"/>
    <mergeCell ref="I5:R5"/>
    <mergeCell ref="D1:G1"/>
    <mergeCell ref="U1:V1"/>
    <mergeCell ref="H35:R35"/>
    <mergeCell ref="G36:R36"/>
    <mergeCell ref="A39:R39"/>
    <mergeCell ref="O6:T6"/>
    <mergeCell ref="D8:F8"/>
    <mergeCell ref="D22:F22"/>
    <mergeCell ref="A27:D27"/>
    <mergeCell ref="Q34:R34"/>
    <mergeCell ref="A6:A7"/>
    <mergeCell ref="B6:B7"/>
    <mergeCell ref="C6:C7"/>
    <mergeCell ref="D6:F7"/>
    <mergeCell ref="G6:J6"/>
    <mergeCell ref="K6:N6"/>
  </mergeCells>
  <printOptions horizontalCentered="1"/>
  <pageMargins left="0.22" right="0.18" top="0.23622047244094491" bottom="0" header="0.31496062992125984" footer="0.31496062992125984"/>
  <pageSetup paperSize="9" scale="71"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5" tint="0.39997558519241921"/>
    <pageSetUpPr fitToPage="1"/>
  </sheetPr>
  <dimension ref="A1:V39"/>
  <sheetViews>
    <sheetView view="pageBreakPreview" zoomScale="90" zoomScaleSheetLayoutView="90" workbookViewId="0">
      <selection activeCell="C9" sqref="C9:V21"/>
    </sheetView>
  </sheetViews>
  <sheetFormatPr defaultRowHeight="12.75" x14ac:dyDescent="0.2"/>
  <cols>
    <col min="1" max="1" width="6.5703125" style="689" customWidth="1"/>
    <col min="2" max="2" width="15.42578125" style="689" customWidth="1"/>
    <col min="3" max="3" width="17.85546875" style="689" customWidth="1"/>
    <col min="4" max="4" width="10.85546875" style="689" customWidth="1"/>
    <col min="5" max="5" width="4.5703125" style="689" customWidth="1"/>
    <col min="6" max="6" width="0.28515625" style="689" hidden="1" customWidth="1"/>
    <col min="7" max="7" width="8.7109375" style="689" customWidth="1"/>
    <col min="8" max="8" width="8" style="689" customWidth="1"/>
    <col min="9" max="14" width="8.140625" style="689" customWidth="1"/>
    <col min="15" max="20" width="10" style="689" customWidth="1"/>
    <col min="21" max="21" width="13.5703125" style="689" customWidth="1"/>
    <col min="22" max="22" width="12.140625" style="689" customWidth="1"/>
    <col min="23" max="16384" width="9.140625" style="689"/>
  </cols>
  <sheetData>
    <row r="1" spans="1:22" ht="15" x14ac:dyDescent="0.2">
      <c r="D1" s="1037"/>
      <c r="E1" s="1037"/>
      <c r="F1" s="1037"/>
      <c r="G1" s="1037"/>
      <c r="U1" s="1237" t="s">
        <v>676</v>
      </c>
      <c r="V1" s="1237"/>
    </row>
    <row r="2" spans="1:22" ht="15.75" x14ac:dyDescent="0.25">
      <c r="A2" s="1131" t="s">
        <v>0</v>
      </c>
      <c r="B2" s="1131"/>
      <c r="C2" s="1131"/>
      <c r="D2" s="1131"/>
      <c r="E2" s="1131"/>
      <c r="F2" s="1131"/>
      <c r="G2" s="1131"/>
      <c r="H2" s="1131"/>
      <c r="I2" s="1131"/>
      <c r="J2" s="1131"/>
      <c r="K2" s="1131"/>
      <c r="L2" s="1131"/>
      <c r="M2" s="1131"/>
      <c r="N2" s="1131"/>
      <c r="O2" s="1131"/>
      <c r="P2" s="1131"/>
      <c r="Q2" s="1131"/>
      <c r="R2" s="1131"/>
      <c r="S2" s="1131"/>
      <c r="T2" s="1131"/>
      <c r="U2" s="1131"/>
      <c r="V2" s="1131"/>
    </row>
    <row r="3" spans="1:22" ht="15.75" x14ac:dyDescent="0.25">
      <c r="A3" s="1131" t="s">
        <v>788</v>
      </c>
      <c r="B3" s="1131"/>
      <c r="C3" s="1131"/>
      <c r="D3" s="1131"/>
      <c r="E3" s="1131"/>
      <c r="F3" s="1131"/>
      <c r="G3" s="1131"/>
      <c r="H3" s="1131"/>
      <c r="I3" s="1131"/>
      <c r="J3" s="1131"/>
      <c r="K3" s="1131"/>
      <c r="L3" s="1131"/>
      <c r="M3" s="1131"/>
      <c r="N3" s="1131"/>
      <c r="O3" s="1131"/>
      <c r="P3" s="1131"/>
      <c r="Q3" s="1131"/>
      <c r="R3" s="1131"/>
      <c r="S3" s="1131"/>
      <c r="T3" s="1131"/>
      <c r="U3" s="1131"/>
      <c r="V3" s="1131"/>
    </row>
    <row r="4" spans="1:22" s="48" customFormat="1" ht="15.75" customHeight="1" x14ac:dyDescent="0.25">
      <c r="A4" s="1181" t="s">
        <v>823</v>
      </c>
      <c r="B4" s="1181"/>
      <c r="C4" s="1181"/>
      <c r="D4" s="1181"/>
      <c r="E4" s="1181"/>
      <c r="F4" s="1181"/>
      <c r="G4" s="1181"/>
      <c r="H4" s="1181"/>
      <c r="I4" s="1181"/>
      <c r="J4" s="1181"/>
      <c r="K4" s="1181"/>
      <c r="L4" s="1181"/>
      <c r="M4" s="1181"/>
      <c r="N4" s="1181"/>
      <c r="O4" s="1181"/>
      <c r="P4" s="1181"/>
      <c r="Q4" s="1181"/>
      <c r="R4" s="1181"/>
      <c r="S4" s="1181"/>
      <c r="T4" s="1181"/>
      <c r="U4" s="1181"/>
      <c r="V4" s="1181"/>
    </row>
    <row r="5" spans="1:22" ht="21.75" customHeight="1" x14ac:dyDescent="0.2">
      <c r="A5" s="1236" t="s">
        <v>456</v>
      </c>
      <c r="B5" s="1236"/>
      <c r="C5" s="1236"/>
      <c r="D5" s="690"/>
      <c r="E5" s="690"/>
      <c r="I5" s="1480"/>
      <c r="J5" s="1480"/>
      <c r="K5" s="1480"/>
      <c r="L5" s="1480"/>
      <c r="M5" s="1480"/>
      <c r="N5" s="1480"/>
      <c r="O5" s="1480"/>
      <c r="P5" s="1480"/>
      <c r="Q5" s="1480"/>
      <c r="R5" s="1480"/>
    </row>
    <row r="6" spans="1:22" ht="30.75" customHeight="1" x14ac:dyDescent="0.2">
      <c r="A6" s="1136" t="s">
        <v>2</v>
      </c>
      <c r="B6" s="1136" t="s">
        <v>3</v>
      </c>
      <c r="C6" s="1136" t="s">
        <v>672</v>
      </c>
      <c r="D6" s="1221" t="s">
        <v>85</v>
      </c>
      <c r="E6" s="1222"/>
      <c r="F6" s="1223"/>
      <c r="G6" s="1165" t="s">
        <v>86</v>
      </c>
      <c r="H6" s="1166"/>
      <c r="I6" s="1166"/>
      <c r="J6" s="1167"/>
      <c r="K6" s="1165" t="s">
        <v>95</v>
      </c>
      <c r="L6" s="1166"/>
      <c r="M6" s="1166"/>
      <c r="N6" s="1167"/>
      <c r="O6" s="1145" t="s">
        <v>755</v>
      </c>
      <c r="P6" s="1145"/>
      <c r="Q6" s="1145"/>
      <c r="R6" s="1145"/>
      <c r="S6" s="1145"/>
      <c r="T6" s="1145"/>
      <c r="U6" s="1475" t="s">
        <v>838</v>
      </c>
      <c r="V6" s="1475"/>
    </row>
    <row r="7" spans="1:22" ht="45.75" customHeight="1" x14ac:dyDescent="0.2">
      <c r="A7" s="1137"/>
      <c r="B7" s="1137"/>
      <c r="C7" s="1137"/>
      <c r="D7" s="1389"/>
      <c r="E7" s="1481"/>
      <c r="F7" s="1482"/>
      <c r="G7" s="691" t="s">
        <v>194</v>
      </c>
      <c r="H7" s="691" t="s">
        <v>119</v>
      </c>
      <c r="I7" s="691" t="s">
        <v>120</v>
      </c>
      <c r="J7" s="291" t="s">
        <v>512</v>
      </c>
      <c r="K7" s="691" t="s">
        <v>147</v>
      </c>
      <c r="L7" s="691" t="s">
        <v>148</v>
      </c>
      <c r="M7" s="691" t="s">
        <v>149</v>
      </c>
      <c r="N7" s="291" t="s">
        <v>512</v>
      </c>
      <c r="O7" s="691" t="s">
        <v>749</v>
      </c>
      <c r="P7" s="691" t="s">
        <v>754</v>
      </c>
      <c r="Q7" s="691" t="s">
        <v>752</v>
      </c>
      <c r="R7" s="691" t="s">
        <v>753</v>
      </c>
      <c r="S7" s="691" t="s">
        <v>750</v>
      </c>
      <c r="T7" s="691" t="s">
        <v>751</v>
      </c>
      <c r="U7" s="805" t="s">
        <v>839</v>
      </c>
      <c r="V7" s="805" t="s">
        <v>840</v>
      </c>
    </row>
    <row r="8" spans="1:22" s="11" customFormat="1" ht="19.5" customHeight="1" x14ac:dyDescent="0.2">
      <c r="A8" s="688">
        <v>1</v>
      </c>
      <c r="B8" s="688">
        <v>2</v>
      </c>
      <c r="C8" s="688">
        <v>3</v>
      </c>
      <c r="D8" s="1165">
        <v>4</v>
      </c>
      <c r="E8" s="1166"/>
      <c r="F8" s="1167"/>
      <c r="G8" s="688">
        <v>5</v>
      </c>
      <c r="H8" s="688">
        <v>6</v>
      </c>
      <c r="I8" s="688">
        <v>7</v>
      </c>
      <c r="J8" s="688">
        <v>8</v>
      </c>
      <c r="K8" s="688">
        <v>9</v>
      </c>
      <c r="L8" s="688">
        <v>10</v>
      </c>
      <c r="M8" s="688">
        <v>11</v>
      </c>
      <c r="N8" s="688">
        <v>12</v>
      </c>
      <c r="O8" s="688">
        <v>13</v>
      </c>
      <c r="P8" s="688">
        <v>14</v>
      </c>
      <c r="Q8" s="688">
        <v>15</v>
      </c>
      <c r="R8" s="688">
        <v>16</v>
      </c>
      <c r="S8" s="688">
        <v>17</v>
      </c>
      <c r="T8" s="688">
        <v>18</v>
      </c>
      <c r="U8" s="806">
        <v>19</v>
      </c>
      <c r="V8" s="806">
        <v>20</v>
      </c>
    </row>
    <row r="9" spans="1:22" ht="21" customHeight="1" x14ac:dyDescent="0.2">
      <c r="A9" s="687">
        <v>1</v>
      </c>
      <c r="B9" s="358" t="s">
        <v>386</v>
      </c>
      <c r="C9" s="1483" t="s">
        <v>400</v>
      </c>
      <c r="D9" s="1484"/>
      <c r="E9" s="1484"/>
      <c r="F9" s="1484"/>
      <c r="G9" s="1484"/>
      <c r="H9" s="1484"/>
      <c r="I9" s="1484"/>
      <c r="J9" s="1484"/>
      <c r="K9" s="1484"/>
      <c r="L9" s="1484"/>
      <c r="M9" s="1484"/>
      <c r="N9" s="1484"/>
      <c r="O9" s="1484"/>
      <c r="P9" s="1484"/>
      <c r="Q9" s="1484"/>
      <c r="R9" s="1484"/>
      <c r="S9" s="1484"/>
      <c r="T9" s="1484"/>
      <c r="U9" s="1484"/>
      <c r="V9" s="1485"/>
    </row>
    <row r="10" spans="1:22" ht="21" customHeight="1" x14ac:dyDescent="0.2">
      <c r="A10" s="687">
        <v>2</v>
      </c>
      <c r="B10" s="358" t="s">
        <v>387</v>
      </c>
      <c r="C10" s="1486"/>
      <c r="D10" s="1487"/>
      <c r="E10" s="1487"/>
      <c r="F10" s="1487"/>
      <c r="G10" s="1487"/>
      <c r="H10" s="1487"/>
      <c r="I10" s="1487"/>
      <c r="J10" s="1487"/>
      <c r="K10" s="1487"/>
      <c r="L10" s="1487"/>
      <c r="M10" s="1487"/>
      <c r="N10" s="1487"/>
      <c r="O10" s="1487"/>
      <c r="P10" s="1487"/>
      <c r="Q10" s="1487"/>
      <c r="R10" s="1487"/>
      <c r="S10" s="1487"/>
      <c r="T10" s="1487"/>
      <c r="U10" s="1487"/>
      <c r="V10" s="1488"/>
    </row>
    <row r="11" spans="1:22" ht="21" customHeight="1" x14ac:dyDescent="0.2">
      <c r="A11" s="687">
        <v>3</v>
      </c>
      <c r="B11" s="358" t="s">
        <v>388</v>
      </c>
      <c r="C11" s="1486"/>
      <c r="D11" s="1487"/>
      <c r="E11" s="1487"/>
      <c r="F11" s="1487"/>
      <c r="G11" s="1487"/>
      <c r="H11" s="1487"/>
      <c r="I11" s="1487"/>
      <c r="J11" s="1487"/>
      <c r="K11" s="1487"/>
      <c r="L11" s="1487"/>
      <c r="M11" s="1487"/>
      <c r="N11" s="1487"/>
      <c r="O11" s="1487"/>
      <c r="P11" s="1487"/>
      <c r="Q11" s="1487"/>
      <c r="R11" s="1487"/>
      <c r="S11" s="1487"/>
      <c r="T11" s="1487"/>
      <c r="U11" s="1487"/>
      <c r="V11" s="1488"/>
    </row>
    <row r="12" spans="1:22" ht="21" customHeight="1" x14ac:dyDescent="0.2">
      <c r="A12" s="687">
        <v>4</v>
      </c>
      <c r="B12" s="358" t="s">
        <v>389</v>
      </c>
      <c r="C12" s="1486"/>
      <c r="D12" s="1487"/>
      <c r="E12" s="1487"/>
      <c r="F12" s="1487"/>
      <c r="G12" s="1487"/>
      <c r="H12" s="1487"/>
      <c r="I12" s="1487"/>
      <c r="J12" s="1487"/>
      <c r="K12" s="1487"/>
      <c r="L12" s="1487"/>
      <c r="M12" s="1487"/>
      <c r="N12" s="1487"/>
      <c r="O12" s="1487"/>
      <c r="P12" s="1487"/>
      <c r="Q12" s="1487"/>
      <c r="R12" s="1487"/>
      <c r="S12" s="1487"/>
      <c r="T12" s="1487"/>
      <c r="U12" s="1487"/>
      <c r="V12" s="1488"/>
    </row>
    <row r="13" spans="1:22" ht="21" customHeight="1" x14ac:dyDescent="0.2">
      <c r="A13" s="687">
        <v>5</v>
      </c>
      <c r="B13" s="359" t="s">
        <v>390</v>
      </c>
      <c r="C13" s="1486"/>
      <c r="D13" s="1487"/>
      <c r="E13" s="1487"/>
      <c r="F13" s="1487"/>
      <c r="G13" s="1487"/>
      <c r="H13" s="1487"/>
      <c r="I13" s="1487"/>
      <c r="J13" s="1487"/>
      <c r="K13" s="1487"/>
      <c r="L13" s="1487"/>
      <c r="M13" s="1487"/>
      <c r="N13" s="1487"/>
      <c r="O13" s="1487"/>
      <c r="P13" s="1487"/>
      <c r="Q13" s="1487"/>
      <c r="R13" s="1487"/>
      <c r="S13" s="1487"/>
      <c r="T13" s="1487"/>
      <c r="U13" s="1487"/>
      <c r="V13" s="1488"/>
    </row>
    <row r="14" spans="1:22" ht="21" customHeight="1" x14ac:dyDescent="0.2">
      <c r="A14" s="687">
        <v>6</v>
      </c>
      <c r="B14" s="358" t="s">
        <v>391</v>
      </c>
      <c r="C14" s="1486"/>
      <c r="D14" s="1487"/>
      <c r="E14" s="1487"/>
      <c r="F14" s="1487"/>
      <c r="G14" s="1487"/>
      <c r="H14" s="1487"/>
      <c r="I14" s="1487"/>
      <c r="J14" s="1487"/>
      <c r="K14" s="1487"/>
      <c r="L14" s="1487"/>
      <c r="M14" s="1487"/>
      <c r="N14" s="1487"/>
      <c r="O14" s="1487"/>
      <c r="P14" s="1487"/>
      <c r="Q14" s="1487"/>
      <c r="R14" s="1487"/>
      <c r="S14" s="1487"/>
      <c r="T14" s="1487"/>
      <c r="U14" s="1487"/>
      <c r="V14" s="1488"/>
    </row>
    <row r="15" spans="1:22" ht="21" customHeight="1" x14ac:dyDescent="0.2">
      <c r="A15" s="687">
        <v>7</v>
      </c>
      <c r="B15" s="359" t="s">
        <v>392</v>
      </c>
      <c r="C15" s="1486"/>
      <c r="D15" s="1487"/>
      <c r="E15" s="1487"/>
      <c r="F15" s="1487"/>
      <c r="G15" s="1487"/>
      <c r="H15" s="1487"/>
      <c r="I15" s="1487"/>
      <c r="J15" s="1487"/>
      <c r="K15" s="1487"/>
      <c r="L15" s="1487"/>
      <c r="M15" s="1487"/>
      <c r="N15" s="1487"/>
      <c r="O15" s="1487"/>
      <c r="P15" s="1487"/>
      <c r="Q15" s="1487"/>
      <c r="R15" s="1487"/>
      <c r="S15" s="1487"/>
      <c r="T15" s="1487"/>
      <c r="U15" s="1487"/>
      <c r="V15" s="1488"/>
    </row>
    <row r="16" spans="1:22" ht="21" customHeight="1" x14ac:dyDescent="0.2">
      <c r="A16" s="687">
        <v>8</v>
      </c>
      <c r="B16" s="358" t="s">
        <v>393</v>
      </c>
      <c r="C16" s="1486"/>
      <c r="D16" s="1487"/>
      <c r="E16" s="1487"/>
      <c r="F16" s="1487"/>
      <c r="G16" s="1487"/>
      <c r="H16" s="1487"/>
      <c r="I16" s="1487"/>
      <c r="J16" s="1487"/>
      <c r="K16" s="1487"/>
      <c r="L16" s="1487"/>
      <c r="M16" s="1487"/>
      <c r="N16" s="1487"/>
      <c r="O16" s="1487"/>
      <c r="P16" s="1487"/>
      <c r="Q16" s="1487"/>
      <c r="R16" s="1487"/>
      <c r="S16" s="1487"/>
      <c r="T16" s="1487"/>
      <c r="U16" s="1487"/>
      <c r="V16" s="1488"/>
    </row>
    <row r="17" spans="1:22" ht="21" customHeight="1" x14ac:dyDescent="0.2">
      <c r="A17" s="687">
        <v>9</v>
      </c>
      <c r="B17" s="358" t="s">
        <v>394</v>
      </c>
      <c r="C17" s="1486"/>
      <c r="D17" s="1487"/>
      <c r="E17" s="1487"/>
      <c r="F17" s="1487"/>
      <c r="G17" s="1487"/>
      <c r="H17" s="1487"/>
      <c r="I17" s="1487"/>
      <c r="J17" s="1487"/>
      <c r="K17" s="1487"/>
      <c r="L17" s="1487"/>
      <c r="M17" s="1487"/>
      <c r="N17" s="1487"/>
      <c r="O17" s="1487"/>
      <c r="P17" s="1487"/>
      <c r="Q17" s="1487"/>
      <c r="R17" s="1487"/>
      <c r="S17" s="1487"/>
      <c r="T17" s="1487"/>
      <c r="U17" s="1487"/>
      <c r="V17" s="1488"/>
    </row>
    <row r="18" spans="1:22" ht="21" customHeight="1" x14ac:dyDescent="0.2">
      <c r="A18" s="687">
        <v>10</v>
      </c>
      <c r="B18" s="358" t="s">
        <v>395</v>
      </c>
      <c r="C18" s="1486"/>
      <c r="D18" s="1487"/>
      <c r="E18" s="1487"/>
      <c r="F18" s="1487"/>
      <c r="G18" s="1487"/>
      <c r="H18" s="1487"/>
      <c r="I18" s="1487"/>
      <c r="J18" s="1487"/>
      <c r="K18" s="1487"/>
      <c r="L18" s="1487"/>
      <c r="M18" s="1487"/>
      <c r="N18" s="1487"/>
      <c r="O18" s="1487"/>
      <c r="P18" s="1487"/>
      <c r="Q18" s="1487"/>
      <c r="R18" s="1487"/>
      <c r="S18" s="1487"/>
      <c r="T18" s="1487"/>
      <c r="U18" s="1487"/>
      <c r="V18" s="1488"/>
    </row>
    <row r="19" spans="1:22" ht="21" customHeight="1" x14ac:dyDescent="0.2">
      <c r="A19" s="687">
        <v>11</v>
      </c>
      <c r="B19" s="358" t="s">
        <v>396</v>
      </c>
      <c r="C19" s="1486"/>
      <c r="D19" s="1487"/>
      <c r="E19" s="1487"/>
      <c r="F19" s="1487"/>
      <c r="G19" s="1487"/>
      <c r="H19" s="1487"/>
      <c r="I19" s="1487"/>
      <c r="J19" s="1487"/>
      <c r="K19" s="1487"/>
      <c r="L19" s="1487"/>
      <c r="M19" s="1487"/>
      <c r="N19" s="1487"/>
      <c r="O19" s="1487"/>
      <c r="P19" s="1487"/>
      <c r="Q19" s="1487"/>
      <c r="R19" s="1487"/>
      <c r="S19" s="1487"/>
      <c r="T19" s="1487"/>
      <c r="U19" s="1487"/>
      <c r="V19" s="1488"/>
    </row>
    <row r="20" spans="1:22" ht="21" customHeight="1" x14ac:dyDescent="0.2">
      <c r="A20" s="687">
        <v>12</v>
      </c>
      <c r="B20" s="358" t="s">
        <v>397</v>
      </c>
      <c r="C20" s="1486"/>
      <c r="D20" s="1487"/>
      <c r="E20" s="1487"/>
      <c r="F20" s="1487"/>
      <c r="G20" s="1487"/>
      <c r="H20" s="1487"/>
      <c r="I20" s="1487"/>
      <c r="J20" s="1487"/>
      <c r="K20" s="1487"/>
      <c r="L20" s="1487"/>
      <c r="M20" s="1487"/>
      <c r="N20" s="1487"/>
      <c r="O20" s="1487"/>
      <c r="P20" s="1487"/>
      <c r="Q20" s="1487"/>
      <c r="R20" s="1487"/>
      <c r="S20" s="1487"/>
      <c r="T20" s="1487"/>
      <c r="U20" s="1487"/>
      <c r="V20" s="1488"/>
    </row>
    <row r="21" spans="1:22" ht="21" customHeight="1" x14ac:dyDescent="0.2">
      <c r="A21" s="687">
        <v>13</v>
      </c>
      <c r="B21" s="358" t="s">
        <v>398</v>
      </c>
      <c r="C21" s="1489"/>
      <c r="D21" s="1490"/>
      <c r="E21" s="1490"/>
      <c r="F21" s="1490"/>
      <c r="G21" s="1490"/>
      <c r="H21" s="1490"/>
      <c r="I21" s="1490"/>
      <c r="J21" s="1490"/>
      <c r="K21" s="1490"/>
      <c r="L21" s="1490"/>
      <c r="M21" s="1490"/>
      <c r="N21" s="1490"/>
      <c r="O21" s="1490"/>
      <c r="P21" s="1490"/>
      <c r="Q21" s="1490"/>
      <c r="R21" s="1490"/>
      <c r="S21" s="1490"/>
      <c r="T21" s="1490"/>
      <c r="U21" s="1490"/>
      <c r="V21" s="1491"/>
    </row>
    <row r="22" spans="1:22" ht="21" customHeight="1" x14ac:dyDescent="0.2">
      <c r="A22" s="687" t="s">
        <v>18</v>
      </c>
      <c r="B22" s="212"/>
      <c r="C22" s="253"/>
      <c r="D22" s="1492"/>
      <c r="E22" s="1493"/>
      <c r="F22" s="1494"/>
      <c r="G22" s="253"/>
      <c r="H22" s="253"/>
      <c r="I22" s="253"/>
      <c r="J22" s="253"/>
      <c r="K22" s="253"/>
      <c r="L22" s="253"/>
      <c r="M22" s="253"/>
      <c r="N22" s="253"/>
      <c r="O22" s="253"/>
      <c r="P22" s="253"/>
      <c r="Q22" s="253"/>
      <c r="R22" s="253"/>
      <c r="S22" s="14"/>
      <c r="T22" s="14"/>
      <c r="U22" s="14"/>
      <c r="V22" s="19"/>
    </row>
    <row r="23" spans="1:22" x14ac:dyDescent="0.2">
      <c r="A23" s="16"/>
      <c r="B23" s="16"/>
      <c r="C23" s="16"/>
      <c r="D23" s="16"/>
      <c r="E23" s="16"/>
    </row>
    <row r="24" spans="1:22" x14ac:dyDescent="0.2">
      <c r="A24" s="347" t="s">
        <v>7</v>
      </c>
      <c r="B24" s="348"/>
      <c r="C24" s="348"/>
      <c r="D24" s="349"/>
      <c r="E24" s="530"/>
      <c r="F24" s="530"/>
      <c r="G24" s="530"/>
      <c r="H24" s="530"/>
      <c r="I24" s="530"/>
      <c r="J24" s="530"/>
      <c r="K24" s="530"/>
      <c r="L24" s="530"/>
      <c r="M24" s="530"/>
      <c r="N24" s="530"/>
      <c r="O24" s="530"/>
      <c r="P24" s="530"/>
      <c r="Q24" s="530"/>
      <c r="R24" s="530"/>
    </row>
    <row r="25" spans="1:22" x14ac:dyDescent="0.2">
      <c r="A25" s="351" t="s">
        <v>8</v>
      </c>
      <c r="B25" s="351"/>
      <c r="C25" s="351"/>
      <c r="D25" s="350"/>
      <c r="E25" s="530"/>
      <c r="F25" s="530"/>
      <c r="G25" s="530"/>
      <c r="H25" s="530"/>
      <c r="I25" s="530"/>
      <c r="J25" s="530"/>
      <c r="K25" s="530"/>
      <c r="L25" s="530"/>
      <c r="M25" s="530"/>
      <c r="N25" s="530"/>
      <c r="O25" s="530"/>
      <c r="P25" s="530"/>
      <c r="Q25" s="530"/>
      <c r="R25" s="530"/>
    </row>
    <row r="26" spans="1:22" x14ac:dyDescent="0.2">
      <c r="A26" s="351" t="s">
        <v>9</v>
      </c>
      <c r="B26" s="351"/>
      <c r="C26" s="351"/>
      <c r="D26" s="350"/>
      <c r="E26" s="530"/>
      <c r="F26" s="530"/>
      <c r="G26" s="530"/>
      <c r="H26" s="530"/>
      <c r="I26" s="530"/>
      <c r="J26" s="530"/>
      <c r="K26" s="530"/>
      <c r="L26" s="530"/>
      <c r="M26" s="530"/>
      <c r="N26" s="530"/>
      <c r="O26" s="530"/>
      <c r="P26" s="530"/>
      <c r="Q26" s="530"/>
      <c r="R26" s="530"/>
    </row>
    <row r="27" spans="1:22" x14ac:dyDescent="0.2">
      <c r="A27" s="1474" t="s">
        <v>233</v>
      </c>
      <c r="B27" s="1474"/>
      <c r="C27" s="1474"/>
      <c r="D27" s="1474"/>
      <c r="E27" s="530"/>
      <c r="F27" s="530"/>
      <c r="G27" s="530"/>
      <c r="H27" s="530"/>
      <c r="I27" s="530"/>
      <c r="J27" s="530"/>
      <c r="K27" s="530"/>
      <c r="L27" s="530"/>
      <c r="M27" s="530"/>
      <c r="N27" s="530"/>
      <c r="O27" s="530"/>
      <c r="P27" s="530"/>
      <c r="Q27" s="530"/>
      <c r="R27" s="530"/>
    </row>
    <row r="28" spans="1:22" x14ac:dyDescent="0.2">
      <c r="A28" s="530"/>
      <c r="B28" s="530"/>
      <c r="C28" s="530"/>
      <c r="D28" s="530"/>
      <c r="E28" s="530"/>
      <c r="F28" s="530"/>
      <c r="G28" s="530"/>
      <c r="H28" s="530"/>
      <c r="I28" s="530"/>
      <c r="J28" s="530"/>
      <c r="K28" s="530"/>
      <c r="L28" s="530"/>
      <c r="M28" s="530"/>
      <c r="N28" s="530"/>
      <c r="O28" s="530"/>
      <c r="P28" s="530"/>
      <c r="Q28" s="530"/>
      <c r="R28" s="530"/>
    </row>
    <row r="29" spans="1:22" x14ac:dyDescent="0.2">
      <c r="A29" s="530"/>
      <c r="B29" s="530"/>
      <c r="C29" s="530"/>
      <c r="D29" s="530"/>
      <c r="E29" s="530"/>
      <c r="F29" s="530"/>
      <c r="G29" s="530"/>
      <c r="H29" s="530"/>
      <c r="I29" s="530"/>
      <c r="J29" s="530"/>
      <c r="K29" s="530"/>
      <c r="L29" s="530"/>
      <c r="M29" s="530"/>
      <c r="N29" s="530"/>
      <c r="O29" s="530"/>
      <c r="P29" s="530"/>
      <c r="Q29" s="530"/>
      <c r="R29" s="530"/>
    </row>
    <row r="30" spans="1:22" x14ac:dyDescent="0.2">
      <c r="A30" s="530"/>
      <c r="B30" s="530"/>
      <c r="C30" s="530"/>
      <c r="D30" s="530"/>
      <c r="E30" s="530"/>
      <c r="F30" s="530"/>
      <c r="G30" s="530"/>
      <c r="H30" s="530"/>
      <c r="I30" s="530"/>
      <c r="J30" s="530"/>
      <c r="K30" s="530"/>
      <c r="L30" s="530"/>
      <c r="M30" s="530"/>
      <c r="N30" s="530"/>
      <c r="O30" s="530"/>
      <c r="P30" s="530"/>
      <c r="Q30" s="530"/>
      <c r="R30" s="530"/>
    </row>
    <row r="31" spans="1:22" x14ac:dyDescent="0.2">
      <c r="A31" s="530"/>
      <c r="B31" s="530"/>
      <c r="C31" s="530"/>
      <c r="D31" s="530"/>
      <c r="E31" s="530"/>
      <c r="F31" s="530"/>
      <c r="G31" s="530"/>
      <c r="H31" s="530"/>
      <c r="I31" s="530"/>
      <c r="J31" s="530"/>
      <c r="K31" s="530"/>
      <c r="L31" s="530"/>
      <c r="M31" s="530"/>
      <c r="N31" s="530"/>
      <c r="O31" s="530"/>
      <c r="P31" s="530"/>
      <c r="Q31" s="530"/>
      <c r="R31" s="530"/>
    </row>
    <row r="32" spans="1:22" x14ac:dyDescent="0.2">
      <c r="A32" s="530"/>
      <c r="B32" s="530"/>
      <c r="C32" s="530"/>
      <c r="D32" s="530"/>
      <c r="E32" s="530"/>
      <c r="F32" s="530"/>
      <c r="G32" s="530"/>
      <c r="H32" s="530"/>
      <c r="I32" s="530"/>
      <c r="J32" s="530"/>
      <c r="K32" s="530"/>
      <c r="L32" s="530"/>
      <c r="M32" s="530"/>
      <c r="N32" s="530"/>
      <c r="O32" s="530"/>
      <c r="P32" s="530"/>
      <c r="Q32" s="530"/>
      <c r="R32" s="530"/>
    </row>
    <row r="33" spans="1:18" x14ac:dyDescent="0.2">
      <c r="A33" s="11"/>
      <c r="B33" s="11"/>
      <c r="C33" s="11"/>
    </row>
    <row r="34" spans="1:18" x14ac:dyDescent="0.2">
      <c r="A34" s="11" t="s">
        <v>11</v>
      </c>
      <c r="D34" s="11"/>
      <c r="E34" s="11"/>
      <c r="H34" s="11"/>
      <c r="I34" s="11"/>
      <c r="J34" s="11"/>
      <c r="K34" s="11"/>
      <c r="L34" s="11"/>
      <c r="M34" s="11"/>
      <c r="N34" s="11"/>
      <c r="O34" s="11"/>
      <c r="P34" s="11"/>
      <c r="Q34" s="1161" t="s">
        <v>12</v>
      </c>
      <c r="R34" s="1161"/>
    </row>
    <row r="35" spans="1:18" ht="12.75" customHeight="1" x14ac:dyDescent="0.2">
      <c r="G35" s="11"/>
      <c r="H35" s="1473" t="s">
        <v>13</v>
      </c>
      <c r="I35" s="1473"/>
      <c r="J35" s="1473"/>
      <c r="K35" s="1473"/>
      <c r="L35" s="1473"/>
      <c r="M35" s="1473"/>
      <c r="N35" s="1473"/>
      <c r="O35" s="1473"/>
      <c r="P35" s="1473"/>
      <c r="Q35" s="1473"/>
      <c r="R35" s="1473"/>
    </row>
    <row r="36" spans="1:18" ht="12.75" customHeight="1" x14ac:dyDescent="0.2">
      <c r="G36" s="1473" t="s">
        <v>87</v>
      </c>
      <c r="H36" s="1473"/>
      <c r="I36" s="1473"/>
      <c r="J36" s="1473"/>
      <c r="K36" s="1473"/>
      <c r="L36" s="1473"/>
      <c r="M36" s="1473"/>
      <c r="N36" s="1473"/>
      <c r="O36" s="1473"/>
      <c r="P36" s="1473"/>
      <c r="Q36" s="1473"/>
      <c r="R36" s="1473"/>
    </row>
    <row r="37" spans="1:18" x14ac:dyDescent="0.2">
      <c r="A37" s="11"/>
      <c r="B37" s="11"/>
      <c r="H37" s="11"/>
      <c r="I37" s="11"/>
      <c r="J37" s="11"/>
      <c r="K37" s="11"/>
      <c r="L37" s="11"/>
      <c r="M37" s="11"/>
      <c r="N37" s="11"/>
      <c r="O37" s="11"/>
      <c r="P37" s="11"/>
      <c r="Q37" s="11"/>
      <c r="R37" s="11" t="s">
        <v>84</v>
      </c>
    </row>
    <row r="39" spans="1:18" x14ac:dyDescent="0.2">
      <c r="A39" s="1157"/>
      <c r="B39" s="1157"/>
      <c r="C39" s="1157"/>
      <c r="D39" s="1157"/>
      <c r="E39" s="1157"/>
      <c r="F39" s="1157"/>
      <c r="G39" s="1157"/>
      <c r="H39" s="1157"/>
      <c r="I39" s="1157"/>
      <c r="J39" s="1157"/>
      <c r="K39" s="1157"/>
      <c r="L39" s="1157"/>
      <c r="M39" s="1157"/>
      <c r="N39" s="1157"/>
      <c r="O39" s="1157"/>
      <c r="P39" s="1157"/>
      <c r="Q39" s="1157"/>
      <c r="R39" s="1157"/>
    </row>
  </sheetData>
  <mergeCells count="23">
    <mergeCell ref="U6:V6"/>
    <mergeCell ref="A4:V4"/>
    <mergeCell ref="A3:V3"/>
    <mergeCell ref="A2:V2"/>
    <mergeCell ref="C9:V21"/>
    <mergeCell ref="A5:C5"/>
    <mergeCell ref="I5:R5"/>
    <mergeCell ref="D1:G1"/>
    <mergeCell ref="U1:V1"/>
    <mergeCell ref="H35:R35"/>
    <mergeCell ref="G36:R36"/>
    <mergeCell ref="A39:R39"/>
    <mergeCell ref="O6:T6"/>
    <mergeCell ref="D8:F8"/>
    <mergeCell ref="D22:F22"/>
    <mergeCell ref="A27:D27"/>
    <mergeCell ref="Q34:R34"/>
    <mergeCell ref="A6:A7"/>
    <mergeCell ref="B6:B7"/>
    <mergeCell ref="C6:C7"/>
    <mergeCell ref="D6:F7"/>
    <mergeCell ref="G6:J6"/>
    <mergeCell ref="K6:N6"/>
  </mergeCells>
  <printOptions horizontalCentered="1"/>
  <pageMargins left="0.22" right="0.18" top="0.23622047244094491" bottom="0" header="0.31496062992125984" footer="0.31496062992125984"/>
  <pageSetup paperSize="9" scale="71"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39997558519241921"/>
    <pageSetUpPr fitToPage="1"/>
  </sheetPr>
  <dimension ref="A2:V31"/>
  <sheetViews>
    <sheetView view="pageBreakPreview" zoomScale="96" zoomScaleSheetLayoutView="96" workbookViewId="0">
      <selection sqref="A1:XFD1048576"/>
    </sheetView>
  </sheetViews>
  <sheetFormatPr defaultRowHeight="15" x14ac:dyDescent="0.25"/>
  <cols>
    <col min="1" max="1" width="9.140625" style="1628"/>
    <col min="2" max="2" width="11.85546875" style="1628" customWidth="1"/>
    <col min="3" max="3" width="7.28515625" style="1628" customWidth="1"/>
    <col min="4" max="4" width="6.85546875" style="1628" customWidth="1"/>
    <col min="5" max="5" width="7.42578125" style="1628" customWidth="1"/>
    <col min="6" max="7" width="7" style="1628" customWidth="1"/>
    <col min="8" max="8" width="7.140625" style="1628" customWidth="1"/>
    <col min="9" max="10" width="6.85546875" style="1628" customWidth="1"/>
    <col min="11" max="11" width="7" style="1628" customWidth="1"/>
    <col min="12" max="12" width="7.28515625" style="1628" customWidth="1"/>
    <col min="13" max="13" width="7.42578125" style="1628" customWidth="1"/>
    <col min="14" max="14" width="7.85546875" style="1628" customWidth="1"/>
    <col min="15" max="15" width="12" style="1628" customWidth="1"/>
    <col min="16" max="16" width="13.5703125" style="1628" customWidth="1"/>
    <col min="17" max="17" width="11.5703125" style="1628" customWidth="1"/>
    <col min="18" max="18" width="19.28515625" style="1628" customWidth="1"/>
    <col min="19" max="19" width="9.140625" style="1628" hidden="1" customWidth="1"/>
    <col min="20" max="16384" width="9.140625" style="1628"/>
  </cols>
  <sheetData>
    <row r="2" spans="1:22" ht="15.75" x14ac:dyDescent="0.25">
      <c r="A2" s="518"/>
      <c r="B2" s="518"/>
      <c r="C2" s="518"/>
      <c r="D2" s="518"/>
      <c r="E2" s="518"/>
      <c r="F2" s="518"/>
      <c r="G2" s="518"/>
      <c r="H2" s="518"/>
      <c r="I2" s="518"/>
      <c r="J2" s="518"/>
      <c r="K2" s="518"/>
      <c r="L2" s="518"/>
      <c r="M2" s="518"/>
      <c r="N2" s="518"/>
      <c r="O2" s="518"/>
      <c r="P2" s="518"/>
      <c r="Q2" s="518"/>
      <c r="R2" s="1498" t="s">
        <v>677</v>
      </c>
      <c r="S2" s="1498"/>
    </row>
    <row r="3" spans="1:22" s="516" customFormat="1" ht="15.75" x14ac:dyDescent="0.25">
      <c r="A3" s="1338" t="s">
        <v>0</v>
      </c>
      <c r="B3" s="1338"/>
      <c r="C3" s="1338"/>
      <c r="D3" s="1338"/>
      <c r="E3" s="1338"/>
      <c r="F3" s="1338"/>
      <c r="G3" s="1338"/>
      <c r="H3" s="1338"/>
      <c r="I3" s="1338"/>
      <c r="J3" s="1338"/>
      <c r="K3" s="1338"/>
      <c r="L3" s="1338"/>
      <c r="M3" s="1338"/>
      <c r="N3" s="1338"/>
      <c r="O3" s="1338"/>
      <c r="P3" s="1338"/>
      <c r="Q3" s="1338"/>
      <c r="R3" s="1338"/>
    </row>
    <row r="4" spans="1:22" s="516" customFormat="1" ht="15.75" x14ac:dyDescent="0.25">
      <c r="A4" s="1338" t="s">
        <v>788</v>
      </c>
      <c r="B4" s="1338"/>
      <c r="C4" s="1338"/>
      <c r="D4" s="1338"/>
      <c r="E4" s="1338"/>
      <c r="F4" s="1338"/>
      <c r="G4" s="1338"/>
      <c r="H4" s="1338"/>
      <c r="I4" s="1338"/>
      <c r="J4" s="1338"/>
      <c r="K4" s="1338"/>
      <c r="L4" s="1338"/>
      <c r="M4" s="1338"/>
      <c r="N4" s="1338"/>
      <c r="O4" s="1338"/>
      <c r="P4" s="1338"/>
      <c r="Q4" s="1338"/>
      <c r="R4" s="1338"/>
    </row>
    <row r="5" spans="1:22" ht="18" x14ac:dyDescent="0.25">
      <c r="A5" s="1499" t="s">
        <v>822</v>
      </c>
      <c r="B5" s="1499"/>
      <c r="C5" s="1499"/>
      <c r="D5" s="1499"/>
      <c r="E5" s="1499"/>
      <c r="F5" s="1499"/>
      <c r="G5" s="1499"/>
      <c r="H5" s="1499"/>
      <c r="I5" s="1499"/>
      <c r="J5" s="1499"/>
      <c r="K5" s="1499"/>
      <c r="L5" s="1499"/>
      <c r="M5" s="1499"/>
      <c r="N5" s="1499"/>
      <c r="O5" s="1499"/>
      <c r="P5" s="1499"/>
      <c r="Q5" s="1499"/>
      <c r="R5" s="1499"/>
      <c r="S5" s="1499"/>
    </row>
    <row r="6" spans="1:22" x14ac:dyDescent="0.25">
      <c r="C6" s="1629"/>
      <c r="D6" s="1629"/>
      <c r="E6" s="1629"/>
      <c r="F6" s="1629"/>
      <c r="G6" s="1629"/>
      <c r="H6" s="1629"/>
      <c r="M6" s="1629"/>
      <c r="N6" s="1629"/>
      <c r="O6" s="1629"/>
      <c r="P6" s="1629"/>
      <c r="Q6" s="1629"/>
      <c r="R6" s="1629"/>
      <c r="S6" s="1629"/>
    </row>
    <row r="7" spans="1:22" x14ac:dyDescent="0.25">
      <c r="A7" s="1502" t="s">
        <v>456</v>
      </c>
      <c r="B7" s="1502"/>
      <c r="C7" s="1502"/>
    </row>
    <row r="8" spans="1:22" x14ac:dyDescent="0.25">
      <c r="B8" s="1630"/>
    </row>
    <row r="9" spans="1:22" s="519" customFormat="1" ht="55.5" customHeight="1" x14ac:dyDescent="0.25">
      <c r="A9" s="1339" t="s">
        <v>2</v>
      </c>
      <c r="B9" s="1503" t="s">
        <v>3</v>
      </c>
      <c r="C9" s="1500" t="s">
        <v>264</v>
      </c>
      <c r="D9" s="1500"/>
      <c r="E9" s="1500"/>
      <c r="F9" s="1500"/>
      <c r="G9" s="1495" t="s">
        <v>820</v>
      </c>
      <c r="H9" s="1496"/>
      <c r="I9" s="1496"/>
      <c r="J9" s="1501"/>
      <c r="K9" s="1495" t="s">
        <v>229</v>
      </c>
      <c r="L9" s="1496"/>
      <c r="M9" s="1496"/>
      <c r="N9" s="1501"/>
      <c r="O9" s="1495" t="s">
        <v>112</v>
      </c>
      <c r="P9" s="1496"/>
      <c r="Q9" s="1496"/>
      <c r="R9" s="1497"/>
    </row>
    <row r="10" spans="1:22" s="521" customFormat="1" ht="62.25" customHeight="1" x14ac:dyDescent="0.25">
      <c r="A10" s="1339"/>
      <c r="B10" s="1504"/>
      <c r="C10" s="520" t="s">
        <v>98</v>
      </c>
      <c r="D10" s="520" t="s">
        <v>102</v>
      </c>
      <c r="E10" s="520" t="s">
        <v>103</v>
      </c>
      <c r="F10" s="520" t="s">
        <v>18</v>
      </c>
      <c r="G10" s="520" t="s">
        <v>98</v>
      </c>
      <c r="H10" s="520" t="s">
        <v>102</v>
      </c>
      <c r="I10" s="520" t="s">
        <v>103</v>
      </c>
      <c r="J10" s="520" t="s">
        <v>18</v>
      </c>
      <c r="K10" s="520" t="s">
        <v>98</v>
      </c>
      <c r="L10" s="520" t="s">
        <v>102</v>
      </c>
      <c r="M10" s="520" t="s">
        <v>103</v>
      </c>
      <c r="N10" s="520" t="s">
        <v>18</v>
      </c>
      <c r="O10" s="520" t="s">
        <v>155</v>
      </c>
      <c r="P10" s="520" t="s">
        <v>156</v>
      </c>
      <c r="Q10" s="1019" t="s">
        <v>157</v>
      </c>
      <c r="R10" s="520" t="s">
        <v>158</v>
      </c>
    </row>
    <row r="11" spans="1:22" s="522" customFormat="1" ht="16.149999999999999" customHeight="1" x14ac:dyDescent="0.2">
      <c r="A11" s="1018">
        <v>1</v>
      </c>
      <c r="B11" s="520">
        <v>2</v>
      </c>
      <c r="C11" s="520">
        <v>3</v>
      </c>
      <c r="D11" s="520">
        <v>4</v>
      </c>
      <c r="E11" s="520">
        <v>5</v>
      </c>
      <c r="F11" s="520">
        <v>6</v>
      </c>
      <c r="G11" s="520">
        <v>7</v>
      </c>
      <c r="H11" s="520">
        <v>8</v>
      </c>
      <c r="I11" s="520">
        <v>9</v>
      </c>
      <c r="J11" s="520">
        <v>10</v>
      </c>
      <c r="K11" s="520">
        <v>11</v>
      </c>
      <c r="L11" s="520">
        <v>12</v>
      </c>
      <c r="M11" s="520">
        <v>13</v>
      </c>
      <c r="N11" s="520">
        <v>14</v>
      </c>
      <c r="O11" s="520">
        <v>15</v>
      </c>
      <c r="P11" s="520">
        <v>16</v>
      </c>
      <c r="Q11" s="520">
        <v>17</v>
      </c>
      <c r="R11" s="520">
        <v>18</v>
      </c>
    </row>
    <row r="12" spans="1:22" s="413" customFormat="1" ht="24.95" customHeight="1" x14ac:dyDescent="0.2">
      <c r="A12" s="417">
        <v>1</v>
      </c>
      <c r="B12" s="523" t="s">
        <v>386</v>
      </c>
      <c r="C12" s="333">
        <v>1734</v>
      </c>
      <c r="D12" s="333">
        <v>57</v>
      </c>
      <c r="E12" s="333">
        <v>6</v>
      </c>
      <c r="F12" s="417">
        <f>C12+D12+E12</f>
        <v>1797</v>
      </c>
      <c r="G12" s="544">
        <v>1704</v>
      </c>
      <c r="H12" s="545">
        <v>53</v>
      </c>
      <c r="I12" s="545">
        <v>0</v>
      </c>
      <c r="J12" s="546">
        <f>SUM(G12:I12)</f>
        <v>1757</v>
      </c>
      <c r="K12" s="547">
        <v>27</v>
      </c>
      <c r="L12" s="547">
        <v>0</v>
      </c>
      <c r="M12" s="547">
        <v>0</v>
      </c>
      <c r="N12" s="1020">
        <f>SUM(K12:M12)</f>
        <v>27</v>
      </c>
      <c r="O12" s="544">
        <v>0</v>
      </c>
      <c r="P12" s="545">
        <v>0</v>
      </c>
      <c r="Q12" s="545">
        <v>0</v>
      </c>
      <c r="R12" s="544">
        <v>0</v>
      </c>
      <c r="T12" s="522"/>
      <c r="U12" s="522"/>
      <c r="V12" s="522"/>
    </row>
    <row r="13" spans="1:22" s="413" customFormat="1" ht="24.95" customHeight="1" x14ac:dyDescent="0.2">
      <c r="A13" s="417">
        <v>2</v>
      </c>
      <c r="B13" s="523" t="s">
        <v>387</v>
      </c>
      <c r="C13" s="333">
        <v>777</v>
      </c>
      <c r="D13" s="333">
        <v>19</v>
      </c>
      <c r="E13" s="333">
        <v>0</v>
      </c>
      <c r="F13" s="417">
        <f t="shared" ref="F13:F24" si="0">C13+D13+E13</f>
        <v>796</v>
      </c>
      <c r="G13" s="544">
        <v>735</v>
      </c>
      <c r="H13" s="545">
        <v>19</v>
      </c>
      <c r="I13" s="545">
        <v>0</v>
      </c>
      <c r="J13" s="546">
        <f>SUM(G13:I13)</f>
        <v>754</v>
      </c>
      <c r="K13" s="547">
        <v>22</v>
      </c>
      <c r="L13" s="547">
        <v>0</v>
      </c>
      <c r="M13" s="547">
        <v>0</v>
      </c>
      <c r="N13" s="1020">
        <f t="shared" ref="N13:N24" si="1">SUM(K13:M13)</f>
        <v>22</v>
      </c>
      <c r="O13" s="544">
        <v>0</v>
      </c>
      <c r="P13" s="545">
        <v>0</v>
      </c>
      <c r="Q13" s="545">
        <v>0</v>
      </c>
      <c r="R13" s="544">
        <v>0</v>
      </c>
      <c r="T13" s="522"/>
      <c r="U13" s="522"/>
      <c r="V13" s="522"/>
    </row>
    <row r="14" spans="1:22" s="413" customFormat="1" ht="24.95" customHeight="1" x14ac:dyDescent="0.2">
      <c r="A14" s="417">
        <v>3</v>
      </c>
      <c r="B14" s="523" t="s">
        <v>388</v>
      </c>
      <c r="C14" s="333">
        <v>1383</v>
      </c>
      <c r="D14" s="333">
        <v>23</v>
      </c>
      <c r="E14" s="333">
        <v>0</v>
      </c>
      <c r="F14" s="417">
        <f t="shared" si="0"/>
        <v>1406</v>
      </c>
      <c r="G14" s="544">
        <v>1233</v>
      </c>
      <c r="H14" s="545">
        <v>16</v>
      </c>
      <c r="I14" s="545">
        <v>0</v>
      </c>
      <c r="J14" s="546">
        <f t="shared" ref="J14:J24" si="2">SUM(G14:I14)</f>
        <v>1249</v>
      </c>
      <c r="K14" s="547">
        <v>40</v>
      </c>
      <c r="L14" s="547">
        <v>0</v>
      </c>
      <c r="M14" s="547">
        <v>0</v>
      </c>
      <c r="N14" s="1020">
        <f t="shared" si="1"/>
        <v>40</v>
      </c>
      <c r="O14" s="544">
        <v>0</v>
      </c>
      <c r="P14" s="545">
        <v>0</v>
      </c>
      <c r="Q14" s="545">
        <v>0</v>
      </c>
      <c r="R14" s="544">
        <v>0</v>
      </c>
      <c r="T14" s="522"/>
      <c r="U14" s="522"/>
    </row>
    <row r="15" spans="1:22" s="413" customFormat="1" ht="24.95" customHeight="1" x14ac:dyDescent="0.2">
      <c r="A15" s="417">
        <v>4</v>
      </c>
      <c r="B15" s="523" t="s">
        <v>389</v>
      </c>
      <c r="C15" s="333">
        <v>679</v>
      </c>
      <c r="D15" s="333">
        <v>9</v>
      </c>
      <c r="E15" s="333">
        <v>0</v>
      </c>
      <c r="F15" s="417">
        <f t="shared" si="0"/>
        <v>688</v>
      </c>
      <c r="G15" s="544">
        <v>665</v>
      </c>
      <c r="H15" s="545">
        <v>7</v>
      </c>
      <c r="I15" s="545">
        <v>0</v>
      </c>
      <c r="J15" s="546">
        <f t="shared" si="2"/>
        <v>672</v>
      </c>
      <c r="K15" s="547">
        <v>31</v>
      </c>
      <c r="L15" s="547">
        <v>0</v>
      </c>
      <c r="M15" s="547">
        <v>0</v>
      </c>
      <c r="N15" s="1020">
        <f t="shared" si="1"/>
        <v>31</v>
      </c>
      <c r="O15" s="544">
        <v>0</v>
      </c>
      <c r="P15" s="545">
        <v>0</v>
      </c>
      <c r="Q15" s="545">
        <v>0</v>
      </c>
      <c r="R15" s="544">
        <v>0</v>
      </c>
    </row>
    <row r="16" spans="1:22" s="413" customFormat="1" ht="24.95" customHeight="1" x14ac:dyDescent="0.2">
      <c r="A16" s="417">
        <v>5</v>
      </c>
      <c r="B16" s="523" t="s">
        <v>390</v>
      </c>
      <c r="C16" s="333">
        <v>1312</v>
      </c>
      <c r="D16" s="333">
        <v>102</v>
      </c>
      <c r="E16" s="333">
        <v>9</v>
      </c>
      <c r="F16" s="417">
        <f t="shared" si="0"/>
        <v>1423</v>
      </c>
      <c r="G16" s="544">
        <v>1102</v>
      </c>
      <c r="H16" s="545">
        <v>90</v>
      </c>
      <c r="I16" s="545">
        <v>8</v>
      </c>
      <c r="J16" s="546">
        <f t="shared" si="2"/>
        <v>1200</v>
      </c>
      <c r="K16" s="547">
        <v>90</v>
      </c>
      <c r="L16" s="547">
        <v>0</v>
      </c>
      <c r="M16" s="547">
        <v>0</v>
      </c>
      <c r="N16" s="1020">
        <f t="shared" si="1"/>
        <v>90</v>
      </c>
      <c r="O16" s="544">
        <v>0</v>
      </c>
      <c r="P16" s="545">
        <v>0</v>
      </c>
      <c r="Q16" s="545">
        <v>0</v>
      </c>
      <c r="R16" s="544">
        <v>0</v>
      </c>
    </row>
    <row r="17" spans="1:22" s="413" customFormat="1" ht="24.95" customHeight="1" x14ac:dyDescent="0.2">
      <c r="A17" s="417">
        <v>6</v>
      </c>
      <c r="B17" s="523" t="s">
        <v>391</v>
      </c>
      <c r="C17" s="333">
        <v>908</v>
      </c>
      <c r="D17" s="333">
        <v>75</v>
      </c>
      <c r="E17" s="333">
        <v>0</v>
      </c>
      <c r="F17" s="417">
        <f t="shared" si="0"/>
        <v>983</v>
      </c>
      <c r="G17" s="544">
        <v>898</v>
      </c>
      <c r="H17" s="545">
        <v>16</v>
      </c>
      <c r="I17" s="545">
        <v>0</v>
      </c>
      <c r="J17" s="546">
        <f t="shared" si="2"/>
        <v>914</v>
      </c>
      <c r="K17" s="547">
        <v>36</v>
      </c>
      <c r="L17" s="547">
        <v>0</v>
      </c>
      <c r="M17" s="547">
        <v>0</v>
      </c>
      <c r="N17" s="1020">
        <f t="shared" si="1"/>
        <v>36</v>
      </c>
      <c r="O17" s="544">
        <v>0</v>
      </c>
      <c r="P17" s="545">
        <v>0</v>
      </c>
      <c r="Q17" s="545">
        <v>0</v>
      </c>
      <c r="R17" s="544">
        <v>0</v>
      </c>
    </row>
    <row r="18" spans="1:22" s="413" customFormat="1" ht="24.95" customHeight="1" x14ac:dyDescent="0.2">
      <c r="A18" s="417">
        <v>7</v>
      </c>
      <c r="B18" s="523" t="s">
        <v>392</v>
      </c>
      <c r="C18" s="333">
        <v>1361</v>
      </c>
      <c r="D18" s="333">
        <v>38</v>
      </c>
      <c r="E18" s="333">
        <v>2</v>
      </c>
      <c r="F18" s="417">
        <f t="shared" si="0"/>
        <v>1401</v>
      </c>
      <c r="G18" s="544">
        <v>1281</v>
      </c>
      <c r="H18" s="545">
        <v>35</v>
      </c>
      <c r="I18" s="545">
        <v>2</v>
      </c>
      <c r="J18" s="546">
        <f t="shared" si="2"/>
        <v>1318</v>
      </c>
      <c r="K18" s="547">
        <v>69</v>
      </c>
      <c r="L18" s="547">
        <v>0</v>
      </c>
      <c r="M18" s="547">
        <v>0</v>
      </c>
      <c r="N18" s="1020">
        <f t="shared" si="1"/>
        <v>69</v>
      </c>
      <c r="O18" s="544">
        <v>0</v>
      </c>
      <c r="P18" s="545">
        <v>0</v>
      </c>
      <c r="Q18" s="545">
        <v>0</v>
      </c>
      <c r="R18" s="544">
        <v>0</v>
      </c>
    </row>
    <row r="19" spans="1:22" s="413" customFormat="1" ht="24.95" customHeight="1" x14ac:dyDescent="0.2">
      <c r="A19" s="417">
        <v>8</v>
      </c>
      <c r="B19" s="523" t="s">
        <v>393</v>
      </c>
      <c r="C19" s="333">
        <v>2049</v>
      </c>
      <c r="D19" s="333">
        <v>95</v>
      </c>
      <c r="E19" s="333">
        <v>2</v>
      </c>
      <c r="F19" s="417">
        <f t="shared" si="0"/>
        <v>2146</v>
      </c>
      <c r="G19" s="544">
        <v>1858</v>
      </c>
      <c r="H19" s="545">
        <v>90</v>
      </c>
      <c r="I19" s="545">
        <v>2</v>
      </c>
      <c r="J19" s="546">
        <f t="shared" si="2"/>
        <v>1950</v>
      </c>
      <c r="K19" s="547">
        <v>22</v>
      </c>
      <c r="L19" s="547">
        <v>0</v>
      </c>
      <c r="M19" s="547">
        <v>0</v>
      </c>
      <c r="N19" s="1020">
        <f t="shared" si="1"/>
        <v>22</v>
      </c>
      <c r="O19" s="544">
        <v>0</v>
      </c>
      <c r="P19" s="545">
        <v>0</v>
      </c>
      <c r="Q19" s="545">
        <v>0</v>
      </c>
      <c r="R19" s="544">
        <v>0</v>
      </c>
    </row>
    <row r="20" spans="1:22" s="413" customFormat="1" ht="24.95" customHeight="1" x14ac:dyDescent="0.2">
      <c r="A20" s="417">
        <v>9</v>
      </c>
      <c r="B20" s="523" t="s">
        <v>394</v>
      </c>
      <c r="C20" s="333">
        <v>1517</v>
      </c>
      <c r="D20" s="333">
        <v>15</v>
      </c>
      <c r="E20" s="333">
        <v>0</v>
      </c>
      <c r="F20" s="417">
        <f t="shared" si="0"/>
        <v>1532</v>
      </c>
      <c r="G20" s="544">
        <v>1413</v>
      </c>
      <c r="H20" s="545">
        <v>15</v>
      </c>
      <c r="I20" s="545">
        <v>0</v>
      </c>
      <c r="J20" s="546">
        <f t="shared" si="2"/>
        <v>1428</v>
      </c>
      <c r="K20" s="547">
        <v>66</v>
      </c>
      <c r="L20" s="547">
        <v>0</v>
      </c>
      <c r="M20" s="547">
        <v>0</v>
      </c>
      <c r="N20" s="1020">
        <f t="shared" si="1"/>
        <v>66</v>
      </c>
      <c r="O20" s="544">
        <v>0</v>
      </c>
      <c r="P20" s="545">
        <v>0</v>
      </c>
      <c r="Q20" s="545">
        <v>0</v>
      </c>
      <c r="R20" s="544">
        <v>0</v>
      </c>
    </row>
    <row r="21" spans="1:22" s="413" customFormat="1" ht="24.95" customHeight="1" x14ac:dyDescent="0.2">
      <c r="A21" s="417">
        <v>10</v>
      </c>
      <c r="B21" s="523" t="s">
        <v>395</v>
      </c>
      <c r="C21" s="333">
        <v>762</v>
      </c>
      <c r="D21" s="333">
        <v>35</v>
      </c>
      <c r="E21" s="333">
        <v>0</v>
      </c>
      <c r="F21" s="417">
        <f t="shared" si="0"/>
        <v>797</v>
      </c>
      <c r="G21" s="544">
        <v>713</v>
      </c>
      <c r="H21" s="545">
        <v>20</v>
      </c>
      <c r="I21" s="545">
        <v>0</v>
      </c>
      <c r="J21" s="546">
        <f t="shared" si="2"/>
        <v>733</v>
      </c>
      <c r="K21" s="547">
        <v>54</v>
      </c>
      <c r="L21" s="547">
        <v>0</v>
      </c>
      <c r="M21" s="547">
        <v>0</v>
      </c>
      <c r="N21" s="1020">
        <f t="shared" si="1"/>
        <v>54</v>
      </c>
      <c r="O21" s="544">
        <v>0</v>
      </c>
      <c r="P21" s="545">
        <v>0</v>
      </c>
      <c r="Q21" s="545">
        <v>0</v>
      </c>
      <c r="R21" s="544">
        <v>0</v>
      </c>
    </row>
    <row r="22" spans="1:22" s="1631" customFormat="1" ht="24.95" customHeight="1" x14ac:dyDescent="0.25">
      <c r="A22" s="417">
        <v>11</v>
      </c>
      <c r="B22" s="523" t="s">
        <v>396</v>
      </c>
      <c r="C22" s="333">
        <v>1877</v>
      </c>
      <c r="D22" s="333">
        <v>44</v>
      </c>
      <c r="E22" s="333">
        <v>0</v>
      </c>
      <c r="F22" s="417">
        <f t="shared" si="0"/>
        <v>1921</v>
      </c>
      <c r="G22" s="548">
        <v>1866</v>
      </c>
      <c r="H22" s="547">
        <v>32</v>
      </c>
      <c r="I22" s="547">
        <v>0</v>
      </c>
      <c r="J22" s="546">
        <f t="shared" si="2"/>
        <v>1898</v>
      </c>
      <c r="K22" s="547">
        <v>72</v>
      </c>
      <c r="L22" s="547">
        <v>0</v>
      </c>
      <c r="M22" s="547">
        <v>0</v>
      </c>
      <c r="N22" s="1020">
        <f t="shared" si="1"/>
        <v>72</v>
      </c>
      <c r="O22" s="544">
        <v>0</v>
      </c>
      <c r="P22" s="545">
        <v>0</v>
      </c>
      <c r="Q22" s="545">
        <v>0</v>
      </c>
      <c r="R22" s="544">
        <v>0</v>
      </c>
      <c r="T22" s="413"/>
      <c r="U22" s="413"/>
      <c r="V22" s="413"/>
    </row>
    <row r="23" spans="1:22" s="1631" customFormat="1" ht="24.95" customHeight="1" x14ac:dyDescent="0.25">
      <c r="A23" s="417">
        <v>12</v>
      </c>
      <c r="B23" s="523" t="s">
        <v>397</v>
      </c>
      <c r="C23" s="333">
        <v>1112</v>
      </c>
      <c r="D23" s="333">
        <v>83</v>
      </c>
      <c r="E23" s="333">
        <v>0</v>
      </c>
      <c r="F23" s="417">
        <f t="shared" si="0"/>
        <v>1195</v>
      </c>
      <c r="G23" s="548">
        <v>1065</v>
      </c>
      <c r="H23" s="547">
        <v>69</v>
      </c>
      <c r="I23" s="547">
        <v>0</v>
      </c>
      <c r="J23" s="546">
        <f t="shared" si="2"/>
        <v>1134</v>
      </c>
      <c r="K23" s="547">
        <v>46</v>
      </c>
      <c r="L23" s="547">
        <v>0</v>
      </c>
      <c r="M23" s="547">
        <v>0</v>
      </c>
      <c r="N23" s="1020">
        <f t="shared" si="1"/>
        <v>46</v>
      </c>
      <c r="O23" s="544">
        <v>0</v>
      </c>
      <c r="P23" s="545">
        <v>0</v>
      </c>
      <c r="Q23" s="545">
        <v>0</v>
      </c>
      <c r="R23" s="544">
        <v>0</v>
      </c>
      <c r="T23" s="413"/>
      <c r="U23" s="413"/>
      <c r="V23" s="413"/>
    </row>
    <row r="24" spans="1:22" s="1631" customFormat="1" ht="24.95" customHeight="1" x14ac:dyDescent="0.25">
      <c r="A24" s="417">
        <v>13</v>
      </c>
      <c r="B24" s="523" t="s">
        <v>398</v>
      </c>
      <c r="C24" s="333">
        <v>1050</v>
      </c>
      <c r="D24" s="333">
        <v>4</v>
      </c>
      <c r="E24" s="333">
        <v>0</v>
      </c>
      <c r="F24" s="417">
        <f t="shared" si="0"/>
        <v>1054</v>
      </c>
      <c r="G24" s="548">
        <v>926</v>
      </c>
      <c r="H24" s="547">
        <v>0</v>
      </c>
      <c r="I24" s="547">
        <v>0</v>
      </c>
      <c r="J24" s="546">
        <f t="shared" si="2"/>
        <v>926</v>
      </c>
      <c r="K24" s="547">
        <v>53</v>
      </c>
      <c r="L24" s="547">
        <v>0</v>
      </c>
      <c r="M24" s="547">
        <v>0</v>
      </c>
      <c r="N24" s="1020">
        <f t="shared" si="1"/>
        <v>53</v>
      </c>
      <c r="O24" s="544">
        <v>0</v>
      </c>
      <c r="P24" s="545">
        <v>0</v>
      </c>
      <c r="Q24" s="545">
        <v>0</v>
      </c>
      <c r="R24" s="544">
        <v>0</v>
      </c>
      <c r="T24" s="413"/>
      <c r="U24" s="413"/>
      <c r="V24" s="413"/>
    </row>
    <row r="25" spans="1:22" s="527" customFormat="1" ht="24.95" customHeight="1" x14ac:dyDescent="0.25">
      <c r="A25" s="524"/>
      <c r="B25" s="524" t="s">
        <v>18</v>
      </c>
      <c r="C25" s="525">
        <f>SUM(C12:C24)</f>
        <v>16521</v>
      </c>
      <c r="D25" s="525">
        <f>SUM(D12:D24)</f>
        <v>599</v>
      </c>
      <c r="E25" s="525">
        <f>SUM(E12:E24)</f>
        <v>19</v>
      </c>
      <c r="F25" s="526" t="s">
        <v>1066</v>
      </c>
      <c r="G25" s="526">
        <f t="shared" ref="G25:R25" si="3">SUM(G12:G24)</f>
        <v>15459</v>
      </c>
      <c r="H25" s="526">
        <f t="shared" si="3"/>
        <v>462</v>
      </c>
      <c r="I25" s="526">
        <f t="shared" si="3"/>
        <v>12</v>
      </c>
      <c r="J25" s="526">
        <f t="shared" si="3"/>
        <v>15933</v>
      </c>
      <c r="K25" s="526">
        <f t="shared" si="3"/>
        <v>628</v>
      </c>
      <c r="L25" s="526">
        <f t="shared" si="3"/>
        <v>0</v>
      </c>
      <c r="M25" s="526">
        <f t="shared" si="3"/>
        <v>0</v>
      </c>
      <c r="N25" s="526">
        <f t="shared" si="3"/>
        <v>628</v>
      </c>
      <c r="O25" s="526">
        <f t="shared" si="3"/>
        <v>0</v>
      </c>
      <c r="P25" s="526">
        <f t="shared" si="3"/>
        <v>0</v>
      </c>
      <c r="Q25" s="526">
        <f t="shared" si="3"/>
        <v>0</v>
      </c>
      <c r="R25" s="526">
        <f t="shared" si="3"/>
        <v>0</v>
      </c>
      <c r="T25" s="413"/>
      <c r="V25" s="413"/>
    </row>
    <row r="26" spans="1:22" x14ac:dyDescent="0.25">
      <c r="A26" s="1628" t="s">
        <v>582</v>
      </c>
      <c r="T26" s="413"/>
      <c r="V26" s="413"/>
    </row>
    <row r="27" spans="1:22" x14ac:dyDescent="0.25">
      <c r="A27" s="527" t="s">
        <v>1067</v>
      </c>
    </row>
    <row r="28" spans="1:22" s="516" customFormat="1" ht="12.75" x14ac:dyDescent="0.2">
      <c r="A28" s="528" t="s">
        <v>11</v>
      </c>
      <c r="G28" s="528"/>
      <c r="H28" s="528"/>
      <c r="K28" s="528"/>
      <c r="L28" s="528"/>
      <c r="M28" s="528"/>
      <c r="N28" s="528"/>
      <c r="O28" s="528"/>
      <c r="P28" s="528"/>
      <c r="Q28" s="529" t="s">
        <v>12</v>
      </c>
    </row>
    <row r="29" spans="1:22" s="516" customFormat="1" ht="12.75" customHeight="1" x14ac:dyDescent="0.2">
      <c r="P29" s="530" t="s">
        <v>13</v>
      </c>
      <c r="R29" s="530"/>
      <c r="S29" s="530"/>
      <c r="T29" s="530"/>
    </row>
    <row r="30" spans="1:22" s="516" customFormat="1" ht="12.75" customHeight="1" x14ac:dyDescent="0.2">
      <c r="P30" s="530" t="s">
        <v>87</v>
      </c>
      <c r="Q30" s="530"/>
      <c r="R30" s="530"/>
      <c r="S30" s="530"/>
      <c r="T30" s="530"/>
    </row>
    <row r="31" spans="1:22" s="516" customFormat="1" ht="12.75" x14ac:dyDescent="0.2">
      <c r="A31" s="528"/>
      <c r="B31" s="528"/>
      <c r="K31" s="528"/>
      <c r="L31" s="528"/>
      <c r="M31" s="528"/>
      <c r="N31" s="528"/>
      <c r="O31" s="528"/>
      <c r="P31" s="528"/>
      <c r="Q31" s="530" t="s">
        <v>84</v>
      </c>
      <c r="R31" s="530"/>
    </row>
  </sheetData>
  <mergeCells count="11">
    <mergeCell ref="O9:R9"/>
    <mergeCell ref="R2:S2"/>
    <mergeCell ref="A4:R4"/>
    <mergeCell ref="A3:R3"/>
    <mergeCell ref="A5:S5"/>
    <mergeCell ref="C9:F9"/>
    <mergeCell ref="K9:N9"/>
    <mergeCell ref="G9:J9"/>
    <mergeCell ref="A7:C7"/>
    <mergeCell ref="A9:A10"/>
    <mergeCell ref="B9:B10"/>
  </mergeCells>
  <phoneticPr fontId="0" type="noConversion"/>
  <printOptions horizontalCentered="1"/>
  <pageMargins left="0.38" right="0.3" top="0.23622047244094491" bottom="0" header="0.31496062992125984" footer="0.31496062992125984"/>
  <pageSetup paperSize="9" scale="84"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5" tint="0.39997558519241921"/>
    <pageSetUpPr fitToPage="1"/>
  </sheetPr>
  <dimension ref="A1:AS33"/>
  <sheetViews>
    <sheetView tabSelected="1" view="pageBreakPreview" zoomScale="70" zoomScaleSheetLayoutView="70" workbookViewId="0">
      <selection activeCell="A11" sqref="A11"/>
    </sheetView>
  </sheetViews>
  <sheetFormatPr defaultRowHeight="25.5" customHeight="1" x14ac:dyDescent="0.25"/>
  <cols>
    <col min="1" max="1" width="8.140625" style="621" customWidth="1"/>
    <col min="2" max="2" width="18.85546875" style="621" customWidth="1"/>
    <col min="3" max="3" width="15.42578125" style="621" customWidth="1"/>
    <col min="4" max="4" width="14.85546875" style="621" customWidth="1"/>
    <col min="5" max="5" width="11.85546875" style="621" customWidth="1"/>
    <col min="6" max="6" width="9.85546875" style="621" customWidth="1"/>
    <col min="7" max="7" width="12.7109375" style="621" customWidth="1"/>
    <col min="8" max="9" width="11" style="621" customWidth="1"/>
    <col min="10" max="10" width="14.140625" style="621" customWidth="1"/>
    <col min="11" max="11" width="14.5703125" style="621" customWidth="1"/>
    <col min="12" max="12" width="13.140625" style="621" customWidth="1"/>
    <col min="13" max="13" width="9.7109375" style="621" customWidth="1"/>
    <col min="14" max="14" width="9.5703125" style="621" customWidth="1"/>
    <col min="15" max="15" width="12.7109375" style="621" customWidth="1"/>
    <col min="16" max="16" width="13.28515625" style="621" customWidth="1"/>
    <col min="17" max="17" width="11.28515625" style="621" customWidth="1"/>
    <col min="18" max="18" width="9.28515625" style="621" customWidth="1"/>
    <col min="19" max="19" width="11.85546875" style="621" customWidth="1"/>
    <col min="20" max="20" width="12.28515625" style="621" customWidth="1"/>
    <col min="21" max="16384" width="9.140625" style="621"/>
  </cols>
  <sheetData>
    <row r="1" spans="1:20" ht="25.5" customHeight="1" x14ac:dyDescent="0.25">
      <c r="R1" s="1632" t="s">
        <v>678</v>
      </c>
      <c r="S1" s="1632"/>
    </row>
    <row r="2" spans="1:20" s="622" customFormat="1" ht="25.5" customHeight="1" x14ac:dyDescent="0.25">
      <c r="A2" s="1633" t="s">
        <v>0</v>
      </c>
      <c r="B2" s="1633"/>
      <c r="C2" s="1633"/>
      <c r="D2" s="1633"/>
      <c r="E2" s="1633"/>
      <c r="F2" s="1633"/>
      <c r="G2" s="1633"/>
      <c r="H2" s="1633"/>
      <c r="I2" s="1633"/>
      <c r="J2" s="1633"/>
      <c r="K2" s="1633"/>
      <c r="L2" s="1633"/>
      <c r="M2" s="1633"/>
      <c r="N2" s="1633"/>
      <c r="O2" s="1633"/>
      <c r="P2" s="1633"/>
      <c r="Q2" s="1633"/>
      <c r="R2" s="1633"/>
      <c r="S2" s="1633"/>
    </row>
    <row r="3" spans="1:20" s="622" customFormat="1" ht="25.5" customHeight="1" x14ac:dyDescent="0.25">
      <c r="A3" s="1633" t="s">
        <v>788</v>
      </c>
      <c r="B3" s="1633"/>
      <c r="C3" s="1633"/>
      <c r="D3" s="1633"/>
      <c r="E3" s="1633"/>
      <c r="F3" s="1633"/>
      <c r="G3" s="1633"/>
      <c r="H3" s="1633"/>
      <c r="I3" s="1633"/>
      <c r="J3" s="1633"/>
      <c r="K3" s="1633"/>
      <c r="L3" s="1633"/>
      <c r="M3" s="1633"/>
      <c r="N3" s="1633"/>
      <c r="O3" s="1633"/>
      <c r="P3" s="1633"/>
      <c r="Q3" s="1633"/>
      <c r="R3" s="1633"/>
      <c r="S3" s="1633"/>
    </row>
    <row r="4" spans="1:20" ht="25.5" customHeight="1" x14ac:dyDescent="0.3">
      <c r="A4" s="1634" t="s">
        <v>821</v>
      </c>
      <c r="B4" s="1634"/>
      <c r="C4" s="1634"/>
      <c r="D4" s="1634"/>
      <c r="E4" s="1634"/>
      <c r="F4" s="1634"/>
      <c r="G4" s="1634"/>
      <c r="H4" s="1634"/>
      <c r="I4" s="1634"/>
      <c r="J4" s="1634"/>
      <c r="K4" s="1634"/>
      <c r="L4" s="1634"/>
      <c r="M4" s="1634"/>
      <c r="N4" s="1634"/>
      <c r="O4" s="1634"/>
      <c r="P4" s="1634"/>
      <c r="Q4" s="1634"/>
      <c r="R4" s="1634"/>
      <c r="S4" s="1634"/>
      <c r="T4" s="623"/>
    </row>
    <row r="5" spans="1:20" ht="25.5" customHeight="1" x14ac:dyDescent="0.25">
      <c r="A5" s="1635" t="s">
        <v>456</v>
      </c>
      <c r="B5" s="1635"/>
      <c r="C5" s="1635"/>
    </row>
    <row r="6" spans="1:20" ht="25.5" customHeight="1" x14ac:dyDescent="0.25">
      <c r="B6" s="1636"/>
      <c r="Q6" s="1637" t="s">
        <v>151</v>
      </c>
    </row>
    <row r="7" spans="1:20" s="624" customFormat="1" ht="25.5" customHeight="1" x14ac:dyDescent="0.25">
      <c r="A7" s="1638" t="s">
        <v>2</v>
      </c>
      <c r="B7" s="1639" t="s">
        <v>3</v>
      </c>
      <c r="C7" s="1639" t="s">
        <v>124</v>
      </c>
      <c r="D7" s="1639"/>
      <c r="E7" s="1639"/>
      <c r="F7" s="1639"/>
      <c r="G7" s="1639" t="s">
        <v>126</v>
      </c>
      <c r="H7" s="1639"/>
      <c r="I7" s="1639"/>
      <c r="J7" s="1639"/>
      <c r="K7" s="1639" t="s">
        <v>127</v>
      </c>
      <c r="L7" s="1639"/>
      <c r="M7" s="1639"/>
      <c r="N7" s="1639"/>
      <c r="O7" s="1639" t="s">
        <v>128</v>
      </c>
      <c r="P7" s="1639"/>
      <c r="Q7" s="1639"/>
      <c r="R7" s="1639"/>
      <c r="S7" s="1640" t="s">
        <v>175</v>
      </c>
    </row>
    <row r="8" spans="1:20" s="625" customFormat="1" ht="75" x14ac:dyDescent="0.25">
      <c r="A8" s="1638"/>
      <c r="B8" s="1639"/>
      <c r="C8" s="1641" t="s">
        <v>172</v>
      </c>
      <c r="D8" s="1642" t="s">
        <v>174</v>
      </c>
      <c r="E8" s="1641" t="s">
        <v>150</v>
      </c>
      <c r="F8" s="1642" t="s">
        <v>173</v>
      </c>
      <c r="G8" s="1641" t="s">
        <v>265</v>
      </c>
      <c r="H8" s="1642" t="s">
        <v>174</v>
      </c>
      <c r="I8" s="1641" t="s">
        <v>150</v>
      </c>
      <c r="J8" s="1642" t="s">
        <v>173</v>
      </c>
      <c r="K8" s="1641" t="s">
        <v>265</v>
      </c>
      <c r="L8" s="1642" t="s">
        <v>174</v>
      </c>
      <c r="M8" s="1641" t="s">
        <v>150</v>
      </c>
      <c r="N8" s="1642" t="s">
        <v>173</v>
      </c>
      <c r="O8" s="1641" t="s">
        <v>265</v>
      </c>
      <c r="P8" s="1642" t="s">
        <v>174</v>
      </c>
      <c r="Q8" s="1641" t="s">
        <v>150</v>
      </c>
      <c r="R8" s="1642" t="s">
        <v>173</v>
      </c>
      <c r="S8" s="1640"/>
    </row>
    <row r="9" spans="1:20" s="625" customFormat="1" ht="37.5" customHeight="1" x14ac:dyDescent="0.25">
      <c r="A9" s="1643">
        <v>1</v>
      </c>
      <c r="B9" s="1641">
        <v>2</v>
      </c>
      <c r="C9" s="1641">
        <v>3</v>
      </c>
      <c r="D9" s="1641">
        <v>4</v>
      </c>
      <c r="E9" s="1641">
        <v>5</v>
      </c>
      <c r="F9" s="1641">
        <v>6</v>
      </c>
      <c r="G9" s="1641">
        <v>7</v>
      </c>
      <c r="H9" s="1641">
        <v>8</v>
      </c>
      <c r="I9" s="1641">
        <v>9</v>
      </c>
      <c r="J9" s="1641">
        <v>10</v>
      </c>
      <c r="K9" s="1641">
        <v>11</v>
      </c>
      <c r="L9" s="1641">
        <v>12</v>
      </c>
      <c r="M9" s="1641">
        <v>13</v>
      </c>
      <c r="N9" s="1641">
        <v>14</v>
      </c>
      <c r="O9" s="1641">
        <v>15</v>
      </c>
      <c r="P9" s="1641">
        <v>16</v>
      </c>
      <c r="Q9" s="1641">
        <v>17</v>
      </c>
      <c r="R9" s="1641">
        <v>18</v>
      </c>
      <c r="S9" s="1644">
        <v>19</v>
      </c>
    </row>
    <row r="10" spans="1:20" ht="37.5" customHeight="1" x14ac:dyDescent="0.25">
      <c r="A10" s="626">
        <v>1</v>
      </c>
      <c r="B10" s="627" t="s">
        <v>386</v>
      </c>
      <c r="C10" s="1645">
        <v>0</v>
      </c>
      <c r="D10" s="1645">
        <v>0</v>
      </c>
      <c r="E10" s="1646">
        <v>0</v>
      </c>
      <c r="F10" s="1646">
        <f>D10*E10</f>
        <v>0</v>
      </c>
      <c r="G10" s="1645">
        <v>0</v>
      </c>
      <c r="H10" s="1645">
        <v>0</v>
      </c>
      <c r="I10" s="1646">
        <v>0</v>
      </c>
      <c r="J10" s="1646">
        <f>H10*I10</f>
        <v>0</v>
      </c>
      <c r="K10" s="1645">
        <v>0</v>
      </c>
      <c r="L10" s="1645">
        <v>0</v>
      </c>
      <c r="M10" s="1646">
        <v>0</v>
      </c>
      <c r="N10" s="1646">
        <f>L10*M10</f>
        <v>0</v>
      </c>
      <c r="O10" s="1645">
        <v>0</v>
      </c>
      <c r="P10" s="1645">
        <v>0</v>
      </c>
      <c r="Q10" s="1646">
        <v>0</v>
      </c>
      <c r="R10" s="1646">
        <f>P10*Q10</f>
        <v>0</v>
      </c>
      <c r="S10" s="1646">
        <f>F10+J10+N10+R10</f>
        <v>0</v>
      </c>
    </row>
    <row r="11" spans="1:20" ht="37.5" customHeight="1" x14ac:dyDescent="0.25">
      <c r="A11" s="626">
        <v>2</v>
      </c>
      <c r="B11" s="627" t="s">
        <v>387</v>
      </c>
      <c r="C11" s="1645">
        <v>0</v>
      </c>
      <c r="D11" s="1645">
        <v>0</v>
      </c>
      <c r="E11" s="1646">
        <v>0</v>
      </c>
      <c r="F11" s="1646">
        <f t="shared" ref="F11:F12" si="0">D11*E11</f>
        <v>0</v>
      </c>
      <c r="G11" s="1645">
        <v>0</v>
      </c>
      <c r="H11" s="1645">
        <v>0</v>
      </c>
      <c r="I11" s="1646">
        <v>0</v>
      </c>
      <c r="J11" s="1646">
        <f t="shared" ref="J11:J22" si="1">H11*I11</f>
        <v>0</v>
      </c>
      <c r="K11" s="1645">
        <v>0</v>
      </c>
      <c r="L11" s="1645">
        <v>0</v>
      </c>
      <c r="M11" s="1646">
        <v>0</v>
      </c>
      <c r="N11" s="1646">
        <f t="shared" ref="N11:N22" si="2">L11*M11</f>
        <v>0</v>
      </c>
      <c r="O11" s="1645">
        <v>0</v>
      </c>
      <c r="P11" s="1645">
        <v>0</v>
      </c>
      <c r="Q11" s="1646">
        <v>0</v>
      </c>
      <c r="R11" s="1646">
        <f t="shared" ref="R11:R22" si="3">P11*Q11</f>
        <v>0</v>
      </c>
      <c r="S11" s="1646">
        <f t="shared" ref="S11:S18" si="4">F11+J11+N11+R11</f>
        <v>0</v>
      </c>
    </row>
    <row r="12" spans="1:20" ht="37.5" customHeight="1" x14ac:dyDescent="0.25">
      <c r="A12" s="626">
        <v>3</v>
      </c>
      <c r="B12" s="627" t="s">
        <v>388</v>
      </c>
      <c r="C12" s="1645">
        <v>0</v>
      </c>
      <c r="D12" s="1645">
        <v>0</v>
      </c>
      <c r="E12" s="1646">
        <v>0</v>
      </c>
      <c r="F12" s="1646">
        <f t="shared" si="0"/>
        <v>0</v>
      </c>
      <c r="G12" s="1645">
        <v>0</v>
      </c>
      <c r="H12" s="1645">
        <v>0</v>
      </c>
      <c r="I12" s="1646">
        <v>0</v>
      </c>
      <c r="J12" s="1646">
        <f t="shared" si="1"/>
        <v>0</v>
      </c>
      <c r="K12" s="1645">
        <v>0</v>
      </c>
      <c r="L12" s="1645">
        <v>0</v>
      </c>
      <c r="M12" s="1646">
        <v>0</v>
      </c>
      <c r="N12" s="1646">
        <f t="shared" si="2"/>
        <v>0</v>
      </c>
      <c r="O12" s="1645">
        <v>0</v>
      </c>
      <c r="P12" s="1645">
        <v>0</v>
      </c>
      <c r="Q12" s="1646">
        <v>0</v>
      </c>
      <c r="R12" s="1646">
        <f t="shared" si="3"/>
        <v>0</v>
      </c>
      <c r="S12" s="1646">
        <f t="shared" si="4"/>
        <v>0</v>
      </c>
    </row>
    <row r="13" spans="1:20" ht="37.5" customHeight="1" x14ac:dyDescent="0.25">
      <c r="A13" s="626">
        <v>4</v>
      </c>
      <c r="B13" s="627" t="s">
        <v>389</v>
      </c>
      <c r="C13" s="1645">
        <v>0</v>
      </c>
      <c r="D13" s="1645">
        <v>0</v>
      </c>
      <c r="E13" s="1646">
        <v>0</v>
      </c>
      <c r="F13" s="1646">
        <f>D13*E13</f>
        <v>0</v>
      </c>
      <c r="G13" s="1645">
        <v>0</v>
      </c>
      <c r="H13" s="1645">
        <v>0</v>
      </c>
      <c r="I13" s="1646">
        <v>0</v>
      </c>
      <c r="J13" s="1646">
        <f t="shared" si="1"/>
        <v>0</v>
      </c>
      <c r="K13" s="1645">
        <v>0</v>
      </c>
      <c r="L13" s="1645">
        <v>0</v>
      </c>
      <c r="M13" s="1646">
        <v>0</v>
      </c>
      <c r="N13" s="1646">
        <f t="shared" si="2"/>
        <v>0</v>
      </c>
      <c r="O13" s="1645">
        <v>0</v>
      </c>
      <c r="P13" s="1645">
        <v>0</v>
      </c>
      <c r="Q13" s="1646">
        <v>0</v>
      </c>
      <c r="R13" s="1646">
        <f t="shared" si="3"/>
        <v>0</v>
      </c>
      <c r="S13" s="1646">
        <f t="shared" si="4"/>
        <v>0</v>
      </c>
    </row>
    <row r="14" spans="1:20" ht="37.5" customHeight="1" x14ac:dyDescent="0.25">
      <c r="A14" s="626">
        <v>5</v>
      </c>
      <c r="B14" s="627" t="s">
        <v>390</v>
      </c>
      <c r="C14" s="1645">
        <v>0</v>
      </c>
      <c r="D14" s="1645">
        <v>0</v>
      </c>
      <c r="E14" s="1646">
        <v>0</v>
      </c>
      <c r="F14" s="1646">
        <f t="shared" ref="F14:F22" si="5">D14*E14</f>
        <v>0</v>
      </c>
      <c r="G14" s="1645">
        <v>0</v>
      </c>
      <c r="H14" s="1645">
        <v>0</v>
      </c>
      <c r="I14" s="1646">
        <v>0</v>
      </c>
      <c r="J14" s="1646">
        <f t="shared" si="1"/>
        <v>0</v>
      </c>
      <c r="K14" s="1645">
        <v>0</v>
      </c>
      <c r="L14" s="1645">
        <v>0</v>
      </c>
      <c r="M14" s="1646">
        <v>0</v>
      </c>
      <c r="N14" s="1646">
        <f t="shared" si="2"/>
        <v>0</v>
      </c>
      <c r="O14" s="1645">
        <v>0</v>
      </c>
      <c r="P14" s="1645">
        <v>0</v>
      </c>
      <c r="Q14" s="1646">
        <v>0</v>
      </c>
      <c r="R14" s="1646">
        <f t="shared" si="3"/>
        <v>0</v>
      </c>
      <c r="S14" s="1646">
        <f>F14+J14+N14+R14</f>
        <v>0</v>
      </c>
    </row>
    <row r="15" spans="1:20" ht="37.5" customHeight="1" x14ac:dyDescent="0.25">
      <c r="A15" s="626">
        <v>6</v>
      </c>
      <c r="B15" s="627" t="s">
        <v>391</v>
      </c>
      <c r="C15" s="1645">
        <v>0</v>
      </c>
      <c r="D15" s="1645">
        <v>0</v>
      </c>
      <c r="E15" s="1646">
        <v>0</v>
      </c>
      <c r="F15" s="1646">
        <f t="shared" si="5"/>
        <v>0</v>
      </c>
      <c r="G15" s="1645">
        <v>0</v>
      </c>
      <c r="H15" s="1645">
        <v>0</v>
      </c>
      <c r="I15" s="1646">
        <v>0</v>
      </c>
      <c r="J15" s="1646">
        <f t="shared" si="1"/>
        <v>0</v>
      </c>
      <c r="K15" s="1645">
        <v>0</v>
      </c>
      <c r="L15" s="1645">
        <v>0</v>
      </c>
      <c r="M15" s="1646">
        <v>0</v>
      </c>
      <c r="N15" s="1646">
        <f t="shared" si="2"/>
        <v>0</v>
      </c>
      <c r="O15" s="1645">
        <v>0</v>
      </c>
      <c r="P15" s="1645">
        <v>0</v>
      </c>
      <c r="Q15" s="1646">
        <v>0</v>
      </c>
      <c r="R15" s="1646">
        <f t="shared" si="3"/>
        <v>0</v>
      </c>
      <c r="S15" s="1646">
        <f t="shared" si="4"/>
        <v>0</v>
      </c>
    </row>
    <row r="16" spans="1:20" ht="37.5" customHeight="1" x14ac:dyDescent="0.25">
      <c r="A16" s="626">
        <v>7</v>
      </c>
      <c r="B16" s="627" t="s">
        <v>392</v>
      </c>
      <c r="C16" s="1645">
        <v>0</v>
      </c>
      <c r="D16" s="1645">
        <v>0</v>
      </c>
      <c r="E16" s="1646">
        <v>0</v>
      </c>
      <c r="F16" s="1646">
        <f t="shared" si="5"/>
        <v>0</v>
      </c>
      <c r="G16" s="1645">
        <v>0</v>
      </c>
      <c r="H16" s="1645">
        <v>0</v>
      </c>
      <c r="I16" s="1646">
        <v>0</v>
      </c>
      <c r="J16" s="1646">
        <f t="shared" si="1"/>
        <v>0</v>
      </c>
      <c r="K16" s="1645">
        <v>0</v>
      </c>
      <c r="L16" s="1645">
        <v>0</v>
      </c>
      <c r="M16" s="1646">
        <v>0</v>
      </c>
      <c r="N16" s="1646">
        <f t="shared" si="2"/>
        <v>0</v>
      </c>
      <c r="O16" s="1645">
        <v>0</v>
      </c>
      <c r="P16" s="1645">
        <v>0</v>
      </c>
      <c r="Q16" s="1646">
        <v>0</v>
      </c>
      <c r="R16" s="1646">
        <f t="shared" si="3"/>
        <v>0</v>
      </c>
      <c r="S16" s="1646">
        <f t="shared" si="4"/>
        <v>0</v>
      </c>
    </row>
    <row r="17" spans="1:45" ht="37.5" customHeight="1" x14ac:dyDescent="0.25">
      <c r="A17" s="626">
        <v>8</v>
      </c>
      <c r="B17" s="627" t="s">
        <v>393</v>
      </c>
      <c r="C17" s="1645">
        <v>0</v>
      </c>
      <c r="D17" s="1645">
        <v>0</v>
      </c>
      <c r="E17" s="1646">
        <v>0</v>
      </c>
      <c r="F17" s="1646">
        <f t="shared" si="5"/>
        <v>0</v>
      </c>
      <c r="G17" s="1645">
        <v>0</v>
      </c>
      <c r="H17" s="1645">
        <v>0</v>
      </c>
      <c r="I17" s="1646">
        <v>0</v>
      </c>
      <c r="J17" s="1646">
        <f t="shared" si="1"/>
        <v>0</v>
      </c>
      <c r="K17" s="1645">
        <v>0</v>
      </c>
      <c r="L17" s="1645">
        <v>0</v>
      </c>
      <c r="M17" s="1646">
        <v>0</v>
      </c>
      <c r="N17" s="1646">
        <f t="shared" si="2"/>
        <v>0</v>
      </c>
      <c r="O17" s="1645">
        <v>0</v>
      </c>
      <c r="P17" s="1645">
        <v>0</v>
      </c>
      <c r="Q17" s="1646">
        <v>0</v>
      </c>
      <c r="R17" s="1646">
        <f t="shared" si="3"/>
        <v>0</v>
      </c>
      <c r="S17" s="1646">
        <f t="shared" si="4"/>
        <v>0</v>
      </c>
    </row>
    <row r="18" spans="1:45" s="629" customFormat="1" ht="37.5" customHeight="1" x14ac:dyDescent="0.25">
      <c r="A18" s="626">
        <v>9</v>
      </c>
      <c r="B18" s="627" t="s">
        <v>394</v>
      </c>
      <c r="C18" s="1645">
        <v>0</v>
      </c>
      <c r="D18" s="1645">
        <v>0</v>
      </c>
      <c r="E18" s="1646">
        <v>0</v>
      </c>
      <c r="F18" s="1646">
        <f t="shared" si="5"/>
        <v>0</v>
      </c>
      <c r="G18" s="1645">
        <v>0</v>
      </c>
      <c r="H18" s="1645">
        <v>0</v>
      </c>
      <c r="I18" s="1646">
        <v>0</v>
      </c>
      <c r="J18" s="1646">
        <f t="shared" si="1"/>
        <v>0</v>
      </c>
      <c r="K18" s="1645">
        <v>0</v>
      </c>
      <c r="L18" s="1645">
        <v>0</v>
      </c>
      <c r="M18" s="1646">
        <v>0</v>
      </c>
      <c r="N18" s="1646">
        <f t="shared" si="2"/>
        <v>0</v>
      </c>
      <c r="O18" s="1645">
        <v>0</v>
      </c>
      <c r="P18" s="1645">
        <v>0</v>
      </c>
      <c r="Q18" s="1646">
        <v>0</v>
      </c>
      <c r="R18" s="1646">
        <f t="shared" si="3"/>
        <v>0</v>
      </c>
      <c r="S18" s="1646">
        <f t="shared" si="4"/>
        <v>0</v>
      </c>
      <c r="T18" s="628"/>
      <c r="U18" s="628"/>
      <c r="V18" s="628"/>
      <c r="W18" s="628"/>
      <c r="X18" s="628"/>
      <c r="Y18" s="628"/>
      <c r="Z18" s="628"/>
      <c r="AA18" s="628"/>
      <c r="AB18" s="628"/>
      <c r="AC18" s="628"/>
      <c r="AD18" s="628"/>
      <c r="AE18" s="628"/>
      <c r="AF18" s="628"/>
      <c r="AG18" s="628"/>
      <c r="AH18" s="628"/>
      <c r="AI18" s="628"/>
      <c r="AJ18" s="628"/>
      <c r="AK18" s="628"/>
      <c r="AL18" s="628"/>
      <c r="AM18" s="628"/>
      <c r="AN18" s="628"/>
      <c r="AO18" s="628"/>
      <c r="AP18" s="628"/>
      <c r="AQ18" s="628"/>
      <c r="AR18" s="628"/>
      <c r="AS18" s="628"/>
    </row>
    <row r="19" spans="1:45" ht="37.5" customHeight="1" x14ac:dyDescent="0.25">
      <c r="A19" s="626">
        <v>10</v>
      </c>
      <c r="B19" s="627" t="s">
        <v>395</v>
      </c>
      <c r="C19" s="1645">
        <v>0</v>
      </c>
      <c r="D19" s="1645">
        <v>0</v>
      </c>
      <c r="E19" s="1646">
        <v>0</v>
      </c>
      <c r="F19" s="1646">
        <f t="shared" si="5"/>
        <v>0</v>
      </c>
      <c r="G19" s="1645">
        <v>0</v>
      </c>
      <c r="H19" s="1645">
        <v>0</v>
      </c>
      <c r="I19" s="1646">
        <v>0</v>
      </c>
      <c r="J19" s="1646">
        <f t="shared" si="1"/>
        <v>0</v>
      </c>
      <c r="K19" s="1645">
        <v>0</v>
      </c>
      <c r="L19" s="1645">
        <v>0</v>
      </c>
      <c r="M19" s="1646">
        <v>0</v>
      </c>
      <c r="N19" s="1646">
        <f t="shared" si="2"/>
        <v>0</v>
      </c>
      <c r="O19" s="1645">
        <v>0</v>
      </c>
      <c r="P19" s="1645">
        <v>0</v>
      </c>
      <c r="Q19" s="1646">
        <v>0</v>
      </c>
      <c r="R19" s="1646">
        <f t="shared" si="3"/>
        <v>0</v>
      </c>
      <c r="S19" s="1646">
        <f>F19+J19+N19+R19</f>
        <v>0</v>
      </c>
    </row>
    <row r="20" spans="1:45" ht="37.5" customHeight="1" x14ac:dyDescent="0.25">
      <c r="A20" s="626">
        <v>11</v>
      </c>
      <c r="B20" s="627" t="s">
        <v>396</v>
      </c>
      <c r="C20" s="1645">
        <v>0</v>
      </c>
      <c r="D20" s="1645">
        <v>0</v>
      </c>
      <c r="E20" s="1646">
        <v>0</v>
      </c>
      <c r="F20" s="1646">
        <f t="shared" si="5"/>
        <v>0</v>
      </c>
      <c r="G20" s="1645">
        <v>0</v>
      </c>
      <c r="H20" s="1645">
        <v>0</v>
      </c>
      <c r="I20" s="1646">
        <v>0</v>
      </c>
      <c r="J20" s="1646">
        <f t="shared" si="1"/>
        <v>0</v>
      </c>
      <c r="K20" s="1645">
        <v>0</v>
      </c>
      <c r="L20" s="1645">
        <v>0</v>
      </c>
      <c r="M20" s="1646">
        <v>0</v>
      </c>
      <c r="N20" s="1646">
        <f t="shared" si="2"/>
        <v>0</v>
      </c>
      <c r="O20" s="1645">
        <v>0</v>
      </c>
      <c r="P20" s="1645">
        <v>0</v>
      </c>
      <c r="Q20" s="1646">
        <v>0</v>
      </c>
      <c r="R20" s="1646">
        <f t="shared" si="3"/>
        <v>0</v>
      </c>
      <c r="S20" s="1646">
        <f>F20+J20+N20+R20</f>
        <v>0</v>
      </c>
    </row>
    <row r="21" spans="1:45" ht="37.5" customHeight="1" x14ac:dyDescent="0.25">
      <c r="A21" s="626">
        <v>12</v>
      </c>
      <c r="B21" s="627" t="s">
        <v>397</v>
      </c>
      <c r="C21" s="1645">
        <v>0</v>
      </c>
      <c r="D21" s="1645">
        <v>0</v>
      </c>
      <c r="E21" s="1646">
        <v>0</v>
      </c>
      <c r="F21" s="1646">
        <f t="shared" si="5"/>
        <v>0</v>
      </c>
      <c r="G21" s="1645">
        <v>0</v>
      </c>
      <c r="H21" s="1645">
        <v>0</v>
      </c>
      <c r="I21" s="1646">
        <v>0</v>
      </c>
      <c r="J21" s="1646">
        <f t="shared" si="1"/>
        <v>0</v>
      </c>
      <c r="K21" s="1645">
        <v>0</v>
      </c>
      <c r="L21" s="1645">
        <v>0</v>
      </c>
      <c r="M21" s="1646">
        <v>0</v>
      </c>
      <c r="N21" s="1646">
        <f t="shared" si="2"/>
        <v>0</v>
      </c>
      <c r="O21" s="1645">
        <v>0</v>
      </c>
      <c r="P21" s="1645">
        <v>0</v>
      </c>
      <c r="Q21" s="1646">
        <v>0</v>
      </c>
      <c r="R21" s="1646">
        <f t="shared" si="3"/>
        <v>0</v>
      </c>
      <c r="S21" s="1646">
        <f>F21+J21+N21+R21</f>
        <v>0</v>
      </c>
    </row>
    <row r="22" spans="1:45" ht="37.5" customHeight="1" x14ac:dyDescent="0.25">
      <c r="A22" s="626">
        <v>13</v>
      </c>
      <c r="B22" s="627" t="s">
        <v>398</v>
      </c>
      <c r="C22" s="1645">
        <v>0</v>
      </c>
      <c r="D22" s="1645">
        <v>0</v>
      </c>
      <c r="E22" s="1646">
        <v>0</v>
      </c>
      <c r="F22" s="1646">
        <f t="shared" si="5"/>
        <v>0</v>
      </c>
      <c r="G22" s="1645">
        <v>0</v>
      </c>
      <c r="H22" s="1645">
        <v>0</v>
      </c>
      <c r="I22" s="1646">
        <v>0</v>
      </c>
      <c r="J22" s="1646">
        <f t="shared" si="1"/>
        <v>0</v>
      </c>
      <c r="K22" s="1645">
        <v>0</v>
      </c>
      <c r="L22" s="1645">
        <v>0</v>
      </c>
      <c r="M22" s="1646">
        <v>0</v>
      </c>
      <c r="N22" s="1646">
        <f t="shared" si="2"/>
        <v>0</v>
      </c>
      <c r="O22" s="1645">
        <v>0</v>
      </c>
      <c r="P22" s="1645">
        <v>0</v>
      </c>
      <c r="Q22" s="1646">
        <v>0</v>
      </c>
      <c r="R22" s="1646">
        <f t="shared" si="3"/>
        <v>0</v>
      </c>
      <c r="S22" s="1646">
        <f>F22+J22+N22+R22</f>
        <v>0</v>
      </c>
    </row>
    <row r="23" spans="1:45" s="622" customFormat="1" ht="37.5" customHeight="1" x14ac:dyDescent="0.2">
      <c r="A23" s="630"/>
      <c r="B23" s="630" t="s">
        <v>18</v>
      </c>
      <c r="C23" s="1647">
        <f t="shared" ref="C23:S23" si="6">SUM(C10:C22)</f>
        <v>0</v>
      </c>
      <c r="D23" s="1647">
        <f t="shared" si="6"/>
        <v>0</v>
      </c>
      <c r="E23" s="1647" t="s">
        <v>1141</v>
      </c>
      <c r="F23" s="1647">
        <f t="shared" si="6"/>
        <v>0</v>
      </c>
      <c r="G23" s="1647">
        <f t="shared" si="6"/>
        <v>0</v>
      </c>
      <c r="H23" s="1647">
        <f t="shared" si="6"/>
        <v>0</v>
      </c>
      <c r="I23" s="1647" t="s">
        <v>1141</v>
      </c>
      <c r="J23" s="1647">
        <f t="shared" si="6"/>
        <v>0</v>
      </c>
      <c r="K23" s="1647">
        <f t="shared" si="6"/>
        <v>0</v>
      </c>
      <c r="L23" s="1647">
        <f t="shared" si="6"/>
        <v>0</v>
      </c>
      <c r="M23" s="1647" t="s">
        <v>1141</v>
      </c>
      <c r="N23" s="1647">
        <f t="shared" si="6"/>
        <v>0</v>
      </c>
      <c r="O23" s="1647">
        <f t="shared" si="6"/>
        <v>0</v>
      </c>
      <c r="P23" s="1647">
        <f t="shared" si="6"/>
        <v>0</v>
      </c>
      <c r="Q23" s="1647" t="s">
        <v>1141</v>
      </c>
      <c r="R23" s="1648">
        <f t="shared" si="6"/>
        <v>0</v>
      </c>
      <c r="S23" s="1647">
        <f t="shared" si="6"/>
        <v>0</v>
      </c>
    </row>
    <row r="24" spans="1:45" s="622" customFormat="1" ht="25.5" customHeight="1" x14ac:dyDescent="0.2">
      <c r="A24" s="1649" t="s">
        <v>679</v>
      </c>
      <c r="J24" s="1649"/>
      <c r="K24" s="1650"/>
      <c r="L24" s="1650"/>
      <c r="M24" s="1650"/>
      <c r="N24" s="1650"/>
      <c r="O24" s="1650"/>
      <c r="P24" s="1650"/>
      <c r="Q24" s="1650"/>
      <c r="R24" s="1650"/>
      <c r="S24" s="1650"/>
    </row>
    <row r="25" spans="1:45" s="622" customFormat="1" ht="25.5" customHeight="1" x14ac:dyDescent="0.2">
      <c r="J25" s="1650"/>
      <c r="K25" s="1650"/>
      <c r="L25" s="1650"/>
      <c r="M25" s="1650"/>
      <c r="N25" s="1650"/>
      <c r="O25" s="1650"/>
      <c r="P25" s="1650"/>
      <c r="Q25" s="1650"/>
      <c r="R25" s="1650"/>
      <c r="S25" s="1650"/>
    </row>
    <row r="26" spans="1:45" s="622" customFormat="1" ht="12.75" x14ac:dyDescent="0.2">
      <c r="A26" s="1649"/>
      <c r="B26" s="1649"/>
      <c r="K26" s="1649"/>
      <c r="L26" s="1649"/>
      <c r="M26" s="1649"/>
      <c r="N26" s="1649"/>
      <c r="O26" s="1649"/>
      <c r="P26" s="1649"/>
      <c r="Q26" s="1651"/>
      <c r="R26" s="1651"/>
      <c r="S26" s="1651"/>
    </row>
    <row r="27" spans="1:45" ht="15" x14ac:dyDescent="0.25">
      <c r="A27" s="1652" t="s">
        <v>11</v>
      </c>
      <c r="B27" s="1653"/>
      <c r="C27" s="1653"/>
      <c r="D27" s="1653"/>
      <c r="E27" s="1653"/>
      <c r="F27" s="1653"/>
      <c r="G27" s="1652"/>
      <c r="H27" s="1652"/>
      <c r="I27" s="1653"/>
      <c r="J27" s="1653"/>
      <c r="K27" s="1652"/>
      <c r="L27" s="1652"/>
      <c r="M27" s="1652"/>
      <c r="N27" s="1652"/>
      <c r="O27" s="1652"/>
      <c r="P27" s="1652"/>
      <c r="Q27" s="1654" t="s">
        <v>12</v>
      </c>
      <c r="R27" s="1654"/>
      <c r="S27" s="1654"/>
    </row>
    <row r="28" spans="1:45" ht="15" x14ac:dyDescent="0.25">
      <c r="A28" s="1653"/>
      <c r="B28" s="1653"/>
      <c r="C28" s="1653"/>
      <c r="D28" s="1653"/>
      <c r="E28" s="1653"/>
      <c r="F28" s="1653"/>
      <c r="G28" s="1653"/>
      <c r="H28" s="1653"/>
      <c r="I28" s="1653"/>
      <c r="J28" s="1653"/>
      <c r="K28" s="1653"/>
      <c r="L28" s="1653"/>
      <c r="M28" s="1653"/>
      <c r="N28" s="1653"/>
      <c r="O28" s="1653"/>
      <c r="P28" s="1655" t="s">
        <v>13</v>
      </c>
      <c r="Q28" s="1653"/>
      <c r="R28" s="1655"/>
      <c r="S28" s="1656"/>
    </row>
    <row r="29" spans="1:45" ht="15" x14ac:dyDescent="0.25">
      <c r="A29" s="1653"/>
      <c r="B29" s="1653"/>
      <c r="C29" s="1653"/>
      <c r="D29" s="1653"/>
      <c r="E29" s="1653"/>
      <c r="F29" s="1653"/>
      <c r="G29" s="1653"/>
      <c r="H29" s="1653"/>
      <c r="I29" s="1653"/>
      <c r="J29" s="1653"/>
      <c r="K29" s="1653"/>
      <c r="L29" s="1653"/>
      <c r="M29" s="1653"/>
      <c r="N29" s="1653"/>
      <c r="O29" s="1653"/>
      <c r="P29" s="1655" t="s">
        <v>87</v>
      </c>
      <c r="Q29" s="1655"/>
      <c r="R29" s="1655"/>
      <c r="S29" s="1656"/>
    </row>
    <row r="30" spans="1:45" ht="15" x14ac:dyDescent="0.25">
      <c r="A30" s="1652"/>
      <c r="B30" s="1652"/>
      <c r="C30" s="1653"/>
      <c r="D30" s="1653"/>
      <c r="E30" s="1653"/>
      <c r="F30" s="1653"/>
      <c r="G30" s="1653"/>
      <c r="H30" s="1653"/>
      <c r="I30" s="1653"/>
      <c r="J30" s="1653"/>
      <c r="K30" s="1652"/>
      <c r="L30" s="1652"/>
      <c r="M30" s="1652"/>
      <c r="N30" s="1652"/>
      <c r="O30" s="1652"/>
      <c r="P30" s="1652"/>
      <c r="Q30" s="1655" t="s">
        <v>84</v>
      </c>
      <c r="R30" s="1655"/>
      <c r="S30" s="1656"/>
    </row>
    <row r="33" spans="6:7" ht="25.5" customHeight="1" x14ac:dyDescent="0.25">
      <c r="F33" s="762"/>
      <c r="G33" s="1657"/>
    </row>
  </sheetData>
  <mergeCells count="16">
    <mergeCell ref="Q27:S27"/>
    <mergeCell ref="R1:S1"/>
    <mergeCell ref="A2:S2"/>
    <mergeCell ref="A3:S3"/>
    <mergeCell ref="A4:S4"/>
    <mergeCell ref="A5:C5"/>
    <mergeCell ref="A7:A8"/>
    <mergeCell ref="B7:B8"/>
    <mergeCell ref="C7:F7"/>
    <mergeCell ref="G7:J7"/>
    <mergeCell ref="K7:N7"/>
    <mergeCell ref="O7:R7"/>
    <mergeCell ref="S7:S8"/>
    <mergeCell ref="K24:S24"/>
    <mergeCell ref="J25:S25"/>
    <mergeCell ref="Q26:S26"/>
  </mergeCells>
  <printOptions horizontalCentered="1"/>
  <pageMargins left="0.26" right="0.23" top="0.35" bottom="0" header="0.2" footer="0.31496062992125984"/>
  <pageSetup paperSize="9" scale="61"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AG31"/>
  <sheetViews>
    <sheetView view="pageBreakPreview" zoomScaleNormal="80" zoomScaleSheetLayoutView="100" workbookViewId="0">
      <selection activeCell="F1" sqref="F1:G1"/>
    </sheetView>
  </sheetViews>
  <sheetFormatPr defaultRowHeight="15" x14ac:dyDescent="0.25"/>
  <cols>
    <col min="1" max="1" width="9.140625" style="807"/>
    <col min="2" max="2" width="25.140625" style="807" customWidth="1"/>
    <col min="3" max="3" width="17.5703125" style="807" customWidth="1"/>
    <col min="4" max="4" width="19.7109375" style="807" customWidth="1"/>
    <col min="5" max="5" width="18.140625" style="807" customWidth="1"/>
    <col min="6" max="6" width="17.85546875" style="807" customWidth="1"/>
    <col min="7" max="7" width="18.85546875" style="807" customWidth="1"/>
    <col min="8" max="8" width="12.28515625" style="807" customWidth="1"/>
    <col min="9" max="257" width="9.140625" style="807"/>
    <col min="258" max="258" width="25.140625" style="807" customWidth="1"/>
    <col min="259" max="259" width="17.5703125" style="807" customWidth="1"/>
    <col min="260" max="260" width="19.7109375" style="807" customWidth="1"/>
    <col min="261" max="261" width="18.140625" style="807" customWidth="1"/>
    <col min="262" max="262" width="15.42578125" style="807" customWidth="1"/>
    <col min="263" max="263" width="15.7109375" style="807" customWidth="1"/>
    <col min="264" max="264" width="12.28515625" style="807" customWidth="1"/>
    <col min="265" max="513" width="9.140625" style="807"/>
    <col min="514" max="514" width="25.140625" style="807" customWidth="1"/>
    <col min="515" max="515" width="17.5703125" style="807" customWidth="1"/>
    <col min="516" max="516" width="19.7109375" style="807" customWidth="1"/>
    <col min="517" max="517" width="18.140625" style="807" customWidth="1"/>
    <col min="518" max="518" width="15.42578125" style="807" customWidth="1"/>
    <col min="519" max="519" width="15.7109375" style="807" customWidth="1"/>
    <col min="520" max="520" width="12.28515625" style="807" customWidth="1"/>
    <col min="521" max="769" width="9.140625" style="807"/>
    <col min="770" max="770" width="25.140625" style="807" customWidth="1"/>
    <col min="771" max="771" width="17.5703125" style="807" customWidth="1"/>
    <col min="772" max="772" width="19.7109375" style="807" customWidth="1"/>
    <col min="773" max="773" width="18.140625" style="807" customWidth="1"/>
    <col min="774" max="774" width="15.42578125" style="807" customWidth="1"/>
    <col min="775" max="775" width="15.7109375" style="807" customWidth="1"/>
    <col min="776" max="776" width="12.28515625" style="807" customWidth="1"/>
    <col min="777" max="1025" width="9.140625" style="807"/>
    <col min="1026" max="1026" width="25.140625" style="807" customWidth="1"/>
    <col min="1027" max="1027" width="17.5703125" style="807" customWidth="1"/>
    <col min="1028" max="1028" width="19.7109375" style="807" customWidth="1"/>
    <col min="1029" max="1029" width="18.140625" style="807" customWidth="1"/>
    <col min="1030" max="1030" width="15.42578125" style="807" customWidth="1"/>
    <col min="1031" max="1031" width="15.7109375" style="807" customWidth="1"/>
    <col min="1032" max="1032" width="12.28515625" style="807" customWidth="1"/>
    <col min="1033" max="1281" width="9.140625" style="807"/>
    <col min="1282" max="1282" width="25.140625" style="807" customWidth="1"/>
    <col min="1283" max="1283" width="17.5703125" style="807" customWidth="1"/>
    <col min="1284" max="1284" width="19.7109375" style="807" customWidth="1"/>
    <col min="1285" max="1285" width="18.140625" style="807" customWidth="1"/>
    <col min="1286" max="1286" width="15.42578125" style="807" customWidth="1"/>
    <col min="1287" max="1287" width="15.7109375" style="807" customWidth="1"/>
    <col min="1288" max="1288" width="12.28515625" style="807" customWidth="1"/>
    <col min="1289" max="1537" width="9.140625" style="807"/>
    <col min="1538" max="1538" width="25.140625" style="807" customWidth="1"/>
    <col min="1539" max="1539" width="17.5703125" style="807" customWidth="1"/>
    <col min="1540" max="1540" width="19.7109375" style="807" customWidth="1"/>
    <col min="1541" max="1541" width="18.140625" style="807" customWidth="1"/>
    <col min="1542" max="1542" width="15.42578125" style="807" customWidth="1"/>
    <col min="1543" max="1543" width="15.7109375" style="807" customWidth="1"/>
    <col min="1544" max="1544" width="12.28515625" style="807" customWidth="1"/>
    <col min="1545" max="1793" width="9.140625" style="807"/>
    <col min="1794" max="1794" width="25.140625" style="807" customWidth="1"/>
    <col min="1795" max="1795" width="17.5703125" style="807" customWidth="1"/>
    <col min="1796" max="1796" width="19.7109375" style="807" customWidth="1"/>
    <col min="1797" max="1797" width="18.140625" style="807" customWidth="1"/>
    <col min="1798" max="1798" width="15.42578125" style="807" customWidth="1"/>
    <col min="1799" max="1799" width="15.7109375" style="807" customWidth="1"/>
    <col min="1800" max="1800" width="12.28515625" style="807" customWidth="1"/>
    <col min="1801" max="2049" width="9.140625" style="807"/>
    <col min="2050" max="2050" width="25.140625" style="807" customWidth="1"/>
    <col min="2051" max="2051" width="17.5703125" style="807" customWidth="1"/>
    <col min="2052" max="2052" width="19.7109375" style="807" customWidth="1"/>
    <col min="2053" max="2053" width="18.140625" style="807" customWidth="1"/>
    <col min="2054" max="2054" width="15.42578125" style="807" customWidth="1"/>
    <col min="2055" max="2055" width="15.7109375" style="807" customWidth="1"/>
    <col min="2056" max="2056" width="12.28515625" style="807" customWidth="1"/>
    <col min="2057" max="2305" width="9.140625" style="807"/>
    <col min="2306" max="2306" width="25.140625" style="807" customWidth="1"/>
    <col min="2307" max="2307" width="17.5703125" style="807" customWidth="1"/>
    <col min="2308" max="2308" width="19.7109375" style="807" customWidth="1"/>
    <col min="2309" max="2309" width="18.140625" style="807" customWidth="1"/>
    <col min="2310" max="2310" width="15.42578125" style="807" customWidth="1"/>
    <col min="2311" max="2311" width="15.7109375" style="807" customWidth="1"/>
    <col min="2312" max="2312" width="12.28515625" style="807" customWidth="1"/>
    <col min="2313" max="2561" width="9.140625" style="807"/>
    <col min="2562" max="2562" width="25.140625" style="807" customWidth="1"/>
    <col min="2563" max="2563" width="17.5703125" style="807" customWidth="1"/>
    <col min="2564" max="2564" width="19.7109375" style="807" customWidth="1"/>
    <col min="2565" max="2565" width="18.140625" style="807" customWidth="1"/>
    <col min="2566" max="2566" width="15.42578125" style="807" customWidth="1"/>
    <col min="2567" max="2567" width="15.7109375" style="807" customWidth="1"/>
    <col min="2568" max="2568" width="12.28515625" style="807" customWidth="1"/>
    <col min="2569" max="2817" width="9.140625" style="807"/>
    <col min="2818" max="2818" width="25.140625" style="807" customWidth="1"/>
    <col min="2819" max="2819" width="17.5703125" style="807" customWidth="1"/>
    <col min="2820" max="2820" width="19.7109375" style="807" customWidth="1"/>
    <col min="2821" max="2821" width="18.140625" style="807" customWidth="1"/>
    <col min="2822" max="2822" width="15.42578125" style="807" customWidth="1"/>
    <col min="2823" max="2823" width="15.7109375" style="807" customWidth="1"/>
    <col min="2824" max="2824" width="12.28515625" style="807" customWidth="1"/>
    <col min="2825" max="3073" width="9.140625" style="807"/>
    <col min="3074" max="3074" width="25.140625" style="807" customWidth="1"/>
    <col min="3075" max="3075" width="17.5703125" style="807" customWidth="1"/>
    <col min="3076" max="3076" width="19.7109375" style="807" customWidth="1"/>
    <col min="3077" max="3077" width="18.140625" style="807" customWidth="1"/>
    <col min="3078" max="3078" width="15.42578125" style="807" customWidth="1"/>
    <col min="3079" max="3079" width="15.7109375" style="807" customWidth="1"/>
    <col min="3080" max="3080" width="12.28515625" style="807" customWidth="1"/>
    <col min="3081" max="3329" width="9.140625" style="807"/>
    <col min="3330" max="3330" width="25.140625" style="807" customWidth="1"/>
    <col min="3331" max="3331" width="17.5703125" style="807" customWidth="1"/>
    <col min="3332" max="3332" width="19.7109375" style="807" customWidth="1"/>
    <col min="3333" max="3333" width="18.140625" style="807" customWidth="1"/>
    <col min="3334" max="3334" width="15.42578125" style="807" customWidth="1"/>
    <col min="3335" max="3335" width="15.7109375" style="807" customWidth="1"/>
    <col min="3336" max="3336" width="12.28515625" style="807" customWidth="1"/>
    <col min="3337" max="3585" width="9.140625" style="807"/>
    <col min="3586" max="3586" width="25.140625" style="807" customWidth="1"/>
    <col min="3587" max="3587" width="17.5703125" style="807" customWidth="1"/>
    <col min="3588" max="3588" width="19.7109375" style="807" customWidth="1"/>
    <col min="3589" max="3589" width="18.140625" style="807" customWidth="1"/>
    <col min="3590" max="3590" width="15.42578125" style="807" customWidth="1"/>
    <col min="3591" max="3591" width="15.7109375" style="807" customWidth="1"/>
    <col min="3592" max="3592" width="12.28515625" style="807" customWidth="1"/>
    <col min="3593" max="3841" width="9.140625" style="807"/>
    <col min="3842" max="3842" width="25.140625" style="807" customWidth="1"/>
    <col min="3843" max="3843" width="17.5703125" style="807" customWidth="1"/>
    <col min="3844" max="3844" width="19.7109375" style="807" customWidth="1"/>
    <col min="3845" max="3845" width="18.140625" style="807" customWidth="1"/>
    <col min="3846" max="3846" width="15.42578125" style="807" customWidth="1"/>
    <col min="3847" max="3847" width="15.7109375" style="807" customWidth="1"/>
    <col min="3848" max="3848" width="12.28515625" style="807" customWidth="1"/>
    <col min="3849" max="4097" width="9.140625" style="807"/>
    <col min="4098" max="4098" width="25.140625" style="807" customWidth="1"/>
    <col min="4099" max="4099" width="17.5703125" style="807" customWidth="1"/>
    <col min="4100" max="4100" width="19.7109375" style="807" customWidth="1"/>
    <col min="4101" max="4101" width="18.140625" style="807" customWidth="1"/>
    <col min="4102" max="4102" width="15.42578125" style="807" customWidth="1"/>
    <col min="4103" max="4103" width="15.7109375" style="807" customWidth="1"/>
    <col min="4104" max="4104" width="12.28515625" style="807" customWidth="1"/>
    <col min="4105" max="4353" width="9.140625" style="807"/>
    <col min="4354" max="4354" width="25.140625" style="807" customWidth="1"/>
    <col min="4355" max="4355" width="17.5703125" style="807" customWidth="1"/>
    <col min="4356" max="4356" width="19.7109375" style="807" customWidth="1"/>
    <col min="4357" max="4357" width="18.140625" style="807" customWidth="1"/>
    <col min="4358" max="4358" width="15.42578125" style="807" customWidth="1"/>
    <col min="4359" max="4359" width="15.7109375" style="807" customWidth="1"/>
    <col min="4360" max="4360" width="12.28515625" style="807" customWidth="1"/>
    <col min="4361" max="4609" width="9.140625" style="807"/>
    <col min="4610" max="4610" width="25.140625" style="807" customWidth="1"/>
    <col min="4611" max="4611" width="17.5703125" style="807" customWidth="1"/>
    <col min="4612" max="4612" width="19.7109375" style="807" customWidth="1"/>
    <col min="4613" max="4613" width="18.140625" style="807" customWidth="1"/>
    <col min="4614" max="4614" width="15.42578125" style="807" customWidth="1"/>
    <col min="4615" max="4615" width="15.7109375" style="807" customWidth="1"/>
    <col min="4616" max="4616" width="12.28515625" style="807" customWidth="1"/>
    <col min="4617" max="4865" width="9.140625" style="807"/>
    <col min="4866" max="4866" width="25.140625" style="807" customWidth="1"/>
    <col min="4867" max="4867" width="17.5703125" style="807" customWidth="1"/>
    <col min="4868" max="4868" width="19.7109375" style="807" customWidth="1"/>
    <col min="4869" max="4869" width="18.140625" style="807" customWidth="1"/>
    <col min="4870" max="4870" width="15.42578125" style="807" customWidth="1"/>
    <col min="4871" max="4871" width="15.7109375" style="807" customWidth="1"/>
    <col min="4872" max="4872" width="12.28515625" style="807" customWidth="1"/>
    <col min="4873" max="5121" width="9.140625" style="807"/>
    <col min="5122" max="5122" width="25.140625" style="807" customWidth="1"/>
    <col min="5123" max="5123" width="17.5703125" style="807" customWidth="1"/>
    <col min="5124" max="5124" width="19.7109375" style="807" customWidth="1"/>
    <col min="5125" max="5125" width="18.140625" style="807" customWidth="1"/>
    <col min="5126" max="5126" width="15.42578125" style="807" customWidth="1"/>
    <col min="5127" max="5127" width="15.7109375" style="807" customWidth="1"/>
    <col min="5128" max="5128" width="12.28515625" style="807" customWidth="1"/>
    <col min="5129" max="5377" width="9.140625" style="807"/>
    <col min="5378" max="5378" width="25.140625" style="807" customWidth="1"/>
    <col min="5379" max="5379" width="17.5703125" style="807" customWidth="1"/>
    <col min="5380" max="5380" width="19.7109375" style="807" customWidth="1"/>
    <col min="5381" max="5381" width="18.140625" style="807" customWidth="1"/>
    <col min="5382" max="5382" width="15.42578125" style="807" customWidth="1"/>
    <col min="5383" max="5383" width="15.7109375" style="807" customWidth="1"/>
    <col min="5384" max="5384" width="12.28515625" style="807" customWidth="1"/>
    <col min="5385" max="5633" width="9.140625" style="807"/>
    <col min="5634" max="5634" width="25.140625" style="807" customWidth="1"/>
    <col min="5635" max="5635" width="17.5703125" style="807" customWidth="1"/>
    <col min="5636" max="5636" width="19.7109375" style="807" customWidth="1"/>
    <col min="5637" max="5637" width="18.140625" style="807" customWidth="1"/>
    <col min="5638" max="5638" width="15.42578125" style="807" customWidth="1"/>
    <col min="5639" max="5639" width="15.7109375" style="807" customWidth="1"/>
    <col min="5640" max="5640" width="12.28515625" style="807" customWidth="1"/>
    <col min="5641" max="5889" width="9.140625" style="807"/>
    <col min="5890" max="5890" width="25.140625" style="807" customWidth="1"/>
    <col min="5891" max="5891" width="17.5703125" style="807" customWidth="1"/>
    <col min="5892" max="5892" width="19.7109375" style="807" customWidth="1"/>
    <col min="5893" max="5893" width="18.140625" style="807" customWidth="1"/>
    <col min="5894" max="5894" width="15.42578125" style="807" customWidth="1"/>
    <col min="5895" max="5895" width="15.7109375" style="807" customWidth="1"/>
    <col min="5896" max="5896" width="12.28515625" style="807" customWidth="1"/>
    <col min="5897" max="6145" width="9.140625" style="807"/>
    <col min="6146" max="6146" width="25.140625" style="807" customWidth="1"/>
    <col min="6147" max="6147" width="17.5703125" style="807" customWidth="1"/>
    <col min="6148" max="6148" width="19.7109375" style="807" customWidth="1"/>
    <col min="6149" max="6149" width="18.140625" style="807" customWidth="1"/>
    <col min="6150" max="6150" width="15.42578125" style="807" customWidth="1"/>
    <col min="6151" max="6151" width="15.7109375" style="807" customWidth="1"/>
    <col min="6152" max="6152" width="12.28515625" style="807" customWidth="1"/>
    <col min="6153" max="6401" width="9.140625" style="807"/>
    <col min="6402" max="6402" width="25.140625" style="807" customWidth="1"/>
    <col min="6403" max="6403" width="17.5703125" style="807" customWidth="1"/>
    <col min="6404" max="6404" width="19.7109375" style="807" customWidth="1"/>
    <col min="6405" max="6405" width="18.140625" style="807" customWidth="1"/>
    <col min="6406" max="6406" width="15.42578125" style="807" customWidth="1"/>
    <col min="6407" max="6407" width="15.7109375" style="807" customWidth="1"/>
    <col min="6408" max="6408" width="12.28515625" style="807" customWidth="1"/>
    <col min="6409" max="6657" width="9.140625" style="807"/>
    <col min="6658" max="6658" width="25.140625" style="807" customWidth="1"/>
    <col min="6659" max="6659" width="17.5703125" style="807" customWidth="1"/>
    <col min="6660" max="6660" width="19.7109375" style="807" customWidth="1"/>
    <col min="6661" max="6661" width="18.140625" style="807" customWidth="1"/>
    <col min="6662" max="6662" width="15.42578125" style="807" customWidth="1"/>
    <col min="6663" max="6663" width="15.7109375" style="807" customWidth="1"/>
    <col min="6664" max="6664" width="12.28515625" style="807" customWidth="1"/>
    <col min="6665" max="6913" width="9.140625" style="807"/>
    <col min="6914" max="6914" width="25.140625" style="807" customWidth="1"/>
    <col min="6915" max="6915" width="17.5703125" style="807" customWidth="1"/>
    <col min="6916" max="6916" width="19.7109375" style="807" customWidth="1"/>
    <col min="6917" max="6917" width="18.140625" style="807" customWidth="1"/>
    <col min="6918" max="6918" width="15.42578125" style="807" customWidth="1"/>
    <col min="6919" max="6919" width="15.7109375" style="807" customWidth="1"/>
    <col min="6920" max="6920" width="12.28515625" style="807" customWidth="1"/>
    <col min="6921" max="7169" width="9.140625" style="807"/>
    <col min="7170" max="7170" width="25.140625" style="807" customWidth="1"/>
    <col min="7171" max="7171" width="17.5703125" style="807" customWidth="1"/>
    <col min="7172" max="7172" width="19.7109375" style="807" customWidth="1"/>
    <col min="7173" max="7173" width="18.140625" style="807" customWidth="1"/>
    <col min="7174" max="7174" width="15.42578125" style="807" customWidth="1"/>
    <col min="7175" max="7175" width="15.7109375" style="807" customWidth="1"/>
    <col min="7176" max="7176" width="12.28515625" style="807" customWidth="1"/>
    <col min="7177" max="7425" width="9.140625" style="807"/>
    <col min="7426" max="7426" width="25.140625" style="807" customWidth="1"/>
    <col min="7427" max="7427" width="17.5703125" style="807" customWidth="1"/>
    <col min="7428" max="7428" width="19.7109375" style="807" customWidth="1"/>
    <col min="7429" max="7429" width="18.140625" style="807" customWidth="1"/>
    <col min="7430" max="7430" width="15.42578125" style="807" customWidth="1"/>
    <col min="7431" max="7431" width="15.7109375" style="807" customWidth="1"/>
    <col min="7432" max="7432" width="12.28515625" style="807" customWidth="1"/>
    <col min="7433" max="7681" width="9.140625" style="807"/>
    <col min="7682" max="7682" width="25.140625" style="807" customWidth="1"/>
    <col min="7683" max="7683" width="17.5703125" style="807" customWidth="1"/>
    <col min="7684" max="7684" width="19.7109375" style="807" customWidth="1"/>
    <col min="7685" max="7685" width="18.140625" style="807" customWidth="1"/>
    <col min="7686" max="7686" width="15.42578125" style="807" customWidth="1"/>
    <col min="7687" max="7687" width="15.7109375" style="807" customWidth="1"/>
    <col min="7688" max="7688" width="12.28515625" style="807" customWidth="1"/>
    <col min="7689" max="7937" width="9.140625" style="807"/>
    <col min="7938" max="7938" width="25.140625" style="807" customWidth="1"/>
    <col min="7939" max="7939" width="17.5703125" style="807" customWidth="1"/>
    <col min="7940" max="7940" width="19.7109375" style="807" customWidth="1"/>
    <col min="7941" max="7941" width="18.140625" style="807" customWidth="1"/>
    <col min="7942" max="7942" width="15.42578125" style="807" customWidth="1"/>
    <col min="7943" max="7943" width="15.7109375" style="807" customWidth="1"/>
    <col min="7944" max="7944" width="12.28515625" style="807" customWidth="1"/>
    <col min="7945" max="8193" width="9.140625" style="807"/>
    <col min="8194" max="8194" width="25.140625" style="807" customWidth="1"/>
    <col min="8195" max="8195" width="17.5703125" style="807" customWidth="1"/>
    <col min="8196" max="8196" width="19.7109375" style="807" customWidth="1"/>
    <col min="8197" max="8197" width="18.140625" style="807" customWidth="1"/>
    <col min="8198" max="8198" width="15.42578125" style="807" customWidth="1"/>
    <col min="8199" max="8199" width="15.7109375" style="807" customWidth="1"/>
    <col min="8200" max="8200" width="12.28515625" style="807" customWidth="1"/>
    <col min="8201" max="8449" width="9.140625" style="807"/>
    <col min="8450" max="8450" width="25.140625" style="807" customWidth="1"/>
    <col min="8451" max="8451" width="17.5703125" style="807" customWidth="1"/>
    <col min="8452" max="8452" width="19.7109375" style="807" customWidth="1"/>
    <col min="8453" max="8453" width="18.140625" style="807" customWidth="1"/>
    <col min="8454" max="8454" width="15.42578125" style="807" customWidth="1"/>
    <col min="8455" max="8455" width="15.7109375" style="807" customWidth="1"/>
    <col min="8456" max="8456" width="12.28515625" style="807" customWidth="1"/>
    <col min="8457" max="8705" width="9.140625" style="807"/>
    <col min="8706" max="8706" width="25.140625" style="807" customWidth="1"/>
    <col min="8707" max="8707" width="17.5703125" style="807" customWidth="1"/>
    <col min="8708" max="8708" width="19.7109375" style="807" customWidth="1"/>
    <col min="8709" max="8709" width="18.140625" style="807" customWidth="1"/>
    <col min="8710" max="8710" width="15.42578125" style="807" customWidth="1"/>
    <col min="8711" max="8711" width="15.7109375" style="807" customWidth="1"/>
    <col min="8712" max="8712" width="12.28515625" style="807" customWidth="1"/>
    <col min="8713" max="8961" width="9.140625" style="807"/>
    <col min="8962" max="8962" width="25.140625" style="807" customWidth="1"/>
    <col min="8963" max="8963" width="17.5703125" style="807" customWidth="1"/>
    <col min="8964" max="8964" width="19.7109375" style="807" customWidth="1"/>
    <col min="8965" max="8965" width="18.140625" style="807" customWidth="1"/>
    <col min="8966" max="8966" width="15.42578125" style="807" customWidth="1"/>
    <col min="8967" max="8967" width="15.7109375" style="807" customWidth="1"/>
    <col min="8968" max="8968" width="12.28515625" style="807" customWidth="1"/>
    <col min="8969" max="9217" width="9.140625" style="807"/>
    <col min="9218" max="9218" width="25.140625" style="807" customWidth="1"/>
    <col min="9219" max="9219" width="17.5703125" style="807" customWidth="1"/>
    <col min="9220" max="9220" width="19.7109375" style="807" customWidth="1"/>
    <col min="9221" max="9221" width="18.140625" style="807" customWidth="1"/>
    <col min="9222" max="9222" width="15.42578125" style="807" customWidth="1"/>
    <col min="9223" max="9223" width="15.7109375" style="807" customWidth="1"/>
    <col min="9224" max="9224" width="12.28515625" style="807" customWidth="1"/>
    <col min="9225" max="9473" width="9.140625" style="807"/>
    <col min="9474" max="9474" width="25.140625" style="807" customWidth="1"/>
    <col min="9475" max="9475" width="17.5703125" style="807" customWidth="1"/>
    <col min="9476" max="9476" width="19.7109375" style="807" customWidth="1"/>
    <col min="9477" max="9477" width="18.140625" style="807" customWidth="1"/>
    <col min="9478" max="9478" width="15.42578125" style="807" customWidth="1"/>
    <col min="9479" max="9479" width="15.7109375" style="807" customWidth="1"/>
    <col min="9480" max="9480" width="12.28515625" style="807" customWidth="1"/>
    <col min="9481" max="9729" width="9.140625" style="807"/>
    <col min="9730" max="9730" width="25.140625" style="807" customWidth="1"/>
    <col min="9731" max="9731" width="17.5703125" style="807" customWidth="1"/>
    <col min="9732" max="9732" width="19.7109375" style="807" customWidth="1"/>
    <col min="9733" max="9733" width="18.140625" style="807" customWidth="1"/>
    <col min="9734" max="9734" width="15.42578125" style="807" customWidth="1"/>
    <col min="9735" max="9735" width="15.7109375" style="807" customWidth="1"/>
    <col min="9736" max="9736" width="12.28515625" style="807" customWidth="1"/>
    <col min="9737" max="9985" width="9.140625" style="807"/>
    <col min="9986" max="9986" width="25.140625" style="807" customWidth="1"/>
    <col min="9987" max="9987" width="17.5703125" style="807" customWidth="1"/>
    <col min="9988" max="9988" width="19.7109375" style="807" customWidth="1"/>
    <col min="9989" max="9989" width="18.140625" style="807" customWidth="1"/>
    <col min="9990" max="9990" width="15.42578125" style="807" customWidth="1"/>
    <col min="9991" max="9991" width="15.7109375" style="807" customWidth="1"/>
    <col min="9992" max="9992" width="12.28515625" style="807" customWidth="1"/>
    <col min="9993" max="10241" width="9.140625" style="807"/>
    <col min="10242" max="10242" width="25.140625" style="807" customWidth="1"/>
    <col min="10243" max="10243" width="17.5703125" style="807" customWidth="1"/>
    <col min="10244" max="10244" width="19.7109375" style="807" customWidth="1"/>
    <col min="10245" max="10245" width="18.140625" style="807" customWidth="1"/>
    <col min="10246" max="10246" width="15.42578125" style="807" customWidth="1"/>
    <col min="10247" max="10247" width="15.7109375" style="807" customWidth="1"/>
    <col min="10248" max="10248" width="12.28515625" style="807" customWidth="1"/>
    <col min="10249" max="10497" width="9.140625" style="807"/>
    <col min="10498" max="10498" width="25.140625" style="807" customWidth="1"/>
    <col min="10499" max="10499" width="17.5703125" style="807" customWidth="1"/>
    <col min="10500" max="10500" width="19.7109375" style="807" customWidth="1"/>
    <col min="10501" max="10501" width="18.140625" style="807" customWidth="1"/>
    <col min="10502" max="10502" width="15.42578125" style="807" customWidth="1"/>
    <col min="10503" max="10503" width="15.7109375" style="807" customWidth="1"/>
    <col min="10504" max="10504" width="12.28515625" style="807" customWidth="1"/>
    <col min="10505" max="10753" width="9.140625" style="807"/>
    <col min="10754" max="10754" width="25.140625" style="807" customWidth="1"/>
    <col min="10755" max="10755" width="17.5703125" style="807" customWidth="1"/>
    <col min="10756" max="10756" width="19.7109375" style="807" customWidth="1"/>
    <col min="10757" max="10757" width="18.140625" style="807" customWidth="1"/>
    <col min="10758" max="10758" width="15.42578125" style="807" customWidth="1"/>
    <col min="10759" max="10759" width="15.7109375" style="807" customWidth="1"/>
    <col min="10760" max="10760" width="12.28515625" style="807" customWidth="1"/>
    <col min="10761" max="11009" width="9.140625" style="807"/>
    <col min="11010" max="11010" width="25.140625" style="807" customWidth="1"/>
    <col min="11011" max="11011" width="17.5703125" style="807" customWidth="1"/>
    <col min="11012" max="11012" width="19.7109375" style="807" customWidth="1"/>
    <col min="11013" max="11013" width="18.140625" style="807" customWidth="1"/>
    <col min="11014" max="11014" width="15.42578125" style="807" customWidth="1"/>
    <col min="11015" max="11015" width="15.7109375" style="807" customWidth="1"/>
    <col min="11016" max="11016" width="12.28515625" style="807" customWidth="1"/>
    <col min="11017" max="11265" width="9.140625" style="807"/>
    <col min="11266" max="11266" width="25.140625" style="807" customWidth="1"/>
    <col min="11267" max="11267" width="17.5703125" style="807" customWidth="1"/>
    <col min="11268" max="11268" width="19.7109375" style="807" customWidth="1"/>
    <col min="11269" max="11269" width="18.140625" style="807" customWidth="1"/>
    <col min="11270" max="11270" width="15.42578125" style="807" customWidth="1"/>
    <col min="11271" max="11271" width="15.7109375" style="807" customWidth="1"/>
    <col min="11272" max="11272" width="12.28515625" style="807" customWidth="1"/>
    <col min="11273" max="11521" width="9.140625" style="807"/>
    <col min="11522" max="11522" width="25.140625" style="807" customWidth="1"/>
    <col min="11523" max="11523" width="17.5703125" style="807" customWidth="1"/>
    <col min="11524" max="11524" width="19.7109375" style="807" customWidth="1"/>
    <col min="11525" max="11525" width="18.140625" style="807" customWidth="1"/>
    <col min="11526" max="11526" width="15.42578125" style="807" customWidth="1"/>
    <col min="11527" max="11527" width="15.7109375" style="807" customWidth="1"/>
    <col min="11528" max="11528" width="12.28515625" style="807" customWidth="1"/>
    <col min="11529" max="11777" width="9.140625" style="807"/>
    <col min="11778" max="11778" width="25.140625" style="807" customWidth="1"/>
    <col min="11779" max="11779" width="17.5703125" style="807" customWidth="1"/>
    <col min="11780" max="11780" width="19.7109375" style="807" customWidth="1"/>
    <col min="11781" max="11781" width="18.140625" style="807" customWidth="1"/>
    <col min="11782" max="11782" width="15.42578125" style="807" customWidth="1"/>
    <col min="11783" max="11783" width="15.7109375" style="807" customWidth="1"/>
    <col min="11784" max="11784" width="12.28515625" style="807" customWidth="1"/>
    <col min="11785" max="12033" width="9.140625" style="807"/>
    <col min="12034" max="12034" width="25.140625" style="807" customWidth="1"/>
    <col min="12035" max="12035" width="17.5703125" style="807" customWidth="1"/>
    <col min="12036" max="12036" width="19.7109375" style="807" customWidth="1"/>
    <col min="12037" max="12037" width="18.140625" style="807" customWidth="1"/>
    <col min="12038" max="12038" width="15.42578125" style="807" customWidth="1"/>
    <col min="12039" max="12039" width="15.7109375" style="807" customWidth="1"/>
    <col min="12040" max="12040" width="12.28515625" style="807" customWidth="1"/>
    <col min="12041" max="12289" width="9.140625" style="807"/>
    <col min="12290" max="12290" width="25.140625" style="807" customWidth="1"/>
    <col min="12291" max="12291" width="17.5703125" style="807" customWidth="1"/>
    <col min="12292" max="12292" width="19.7109375" style="807" customWidth="1"/>
    <col min="12293" max="12293" width="18.140625" style="807" customWidth="1"/>
    <col min="12294" max="12294" width="15.42578125" style="807" customWidth="1"/>
    <col min="12295" max="12295" width="15.7109375" style="807" customWidth="1"/>
    <col min="12296" max="12296" width="12.28515625" style="807" customWidth="1"/>
    <col min="12297" max="12545" width="9.140625" style="807"/>
    <col min="12546" max="12546" width="25.140625" style="807" customWidth="1"/>
    <col min="12547" max="12547" width="17.5703125" style="807" customWidth="1"/>
    <col min="12548" max="12548" width="19.7109375" style="807" customWidth="1"/>
    <col min="12549" max="12549" width="18.140625" style="807" customWidth="1"/>
    <col min="12550" max="12550" width="15.42578125" style="807" customWidth="1"/>
    <col min="12551" max="12551" width="15.7109375" style="807" customWidth="1"/>
    <col min="12552" max="12552" width="12.28515625" style="807" customWidth="1"/>
    <col min="12553" max="12801" width="9.140625" style="807"/>
    <col min="12802" max="12802" width="25.140625" style="807" customWidth="1"/>
    <col min="12803" max="12803" width="17.5703125" style="807" customWidth="1"/>
    <col min="12804" max="12804" width="19.7109375" style="807" customWidth="1"/>
    <col min="12805" max="12805" width="18.140625" style="807" customWidth="1"/>
    <col min="12806" max="12806" width="15.42578125" style="807" customWidth="1"/>
    <col min="12807" max="12807" width="15.7109375" style="807" customWidth="1"/>
    <col min="12808" max="12808" width="12.28515625" style="807" customWidth="1"/>
    <col min="12809" max="13057" width="9.140625" style="807"/>
    <col min="13058" max="13058" width="25.140625" style="807" customWidth="1"/>
    <col min="13059" max="13059" width="17.5703125" style="807" customWidth="1"/>
    <col min="13060" max="13060" width="19.7109375" style="807" customWidth="1"/>
    <col min="13061" max="13061" width="18.140625" style="807" customWidth="1"/>
    <col min="13062" max="13062" width="15.42578125" style="807" customWidth="1"/>
    <col min="13063" max="13063" width="15.7109375" style="807" customWidth="1"/>
    <col min="13064" max="13064" width="12.28515625" style="807" customWidth="1"/>
    <col min="13065" max="13313" width="9.140625" style="807"/>
    <col min="13314" max="13314" width="25.140625" style="807" customWidth="1"/>
    <col min="13315" max="13315" width="17.5703125" style="807" customWidth="1"/>
    <col min="13316" max="13316" width="19.7109375" style="807" customWidth="1"/>
    <col min="13317" max="13317" width="18.140625" style="807" customWidth="1"/>
    <col min="13318" max="13318" width="15.42578125" style="807" customWidth="1"/>
    <col min="13319" max="13319" width="15.7109375" style="807" customWidth="1"/>
    <col min="13320" max="13320" width="12.28515625" style="807" customWidth="1"/>
    <col min="13321" max="13569" width="9.140625" style="807"/>
    <col min="13570" max="13570" width="25.140625" style="807" customWidth="1"/>
    <col min="13571" max="13571" width="17.5703125" style="807" customWidth="1"/>
    <col min="13572" max="13572" width="19.7109375" style="807" customWidth="1"/>
    <col min="13573" max="13573" width="18.140625" style="807" customWidth="1"/>
    <col min="13574" max="13574" width="15.42578125" style="807" customWidth="1"/>
    <col min="13575" max="13575" width="15.7109375" style="807" customWidth="1"/>
    <col min="13576" max="13576" width="12.28515625" style="807" customWidth="1"/>
    <col min="13577" max="13825" width="9.140625" style="807"/>
    <col min="13826" max="13826" width="25.140625" style="807" customWidth="1"/>
    <col min="13827" max="13827" width="17.5703125" style="807" customWidth="1"/>
    <col min="13828" max="13828" width="19.7109375" style="807" customWidth="1"/>
    <col min="13829" max="13829" width="18.140625" style="807" customWidth="1"/>
    <col min="13830" max="13830" width="15.42578125" style="807" customWidth="1"/>
    <col min="13831" max="13831" width="15.7109375" style="807" customWidth="1"/>
    <col min="13832" max="13832" width="12.28515625" style="807" customWidth="1"/>
    <col min="13833" max="14081" width="9.140625" style="807"/>
    <col min="14082" max="14082" width="25.140625" style="807" customWidth="1"/>
    <col min="14083" max="14083" width="17.5703125" style="807" customWidth="1"/>
    <col min="14084" max="14084" width="19.7109375" style="807" customWidth="1"/>
    <col min="14085" max="14085" width="18.140625" style="807" customWidth="1"/>
    <col min="14086" max="14086" width="15.42578125" style="807" customWidth="1"/>
    <col min="14087" max="14087" width="15.7109375" style="807" customWidth="1"/>
    <col min="14088" max="14088" width="12.28515625" style="807" customWidth="1"/>
    <col min="14089" max="14337" width="9.140625" style="807"/>
    <col min="14338" max="14338" width="25.140625" style="807" customWidth="1"/>
    <col min="14339" max="14339" width="17.5703125" style="807" customWidth="1"/>
    <col min="14340" max="14340" width="19.7109375" style="807" customWidth="1"/>
    <col min="14341" max="14341" width="18.140625" style="807" customWidth="1"/>
    <col min="14342" max="14342" width="15.42578125" style="807" customWidth="1"/>
    <col min="14343" max="14343" width="15.7109375" style="807" customWidth="1"/>
    <col min="14344" max="14344" width="12.28515625" style="807" customWidth="1"/>
    <col min="14345" max="14593" width="9.140625" style="807"/>
    <col min="14594" max="14594" width="25.140625" style="807" customWidth="1"/>
    <col min="14595" max="14595" width="17.5703125" style="807" customWidth="1"/>
    <col min="14596" max="14596" width="19.7109375" style="807" customWidth="1"/>
    <col min="14597" max="14597" width="18.140625" style="807" customWidth="1"/>
    <col min="14598" max="14598" width="15.42578125" style="807" customWidth="1"/>
    <col min="14599" max="14599" width="15.7109375" style="807" customWidth="1"/>
    <col min="14600" max="14600" width="12.28515625" style="807" customWidth="1"/>
    <col min="14601" max="14849" width="9.140625" style="807"/>
    <col min="14850" max="14850" width="25.140625" style="807" customWidth="1"/>
    <col min="14851" max="14851" width="17.5703125" style="807" customWidth="1"/>
    <col min="14852" max="14852" width="19.7109375" style="807" customWidth="1"/>
    <col min="14853" max="14853" width="18.140625" style="807" customWidth="1"/>
    <col min="14854" max="14854" width="15.42578125" style="807" customWidth="1"/>
    <col min="14855" max="14855" width="15.7109375" style="807" customWidth="1"/>
    <col min="14856" max="14856" width="12.28515625" style="807" customWidth="1"/>
    <col min="14857" max="15105" width="9.140625" style="807"/>
    <col min="15106" max="15106" width="25.140625" style="807" customWidth="1"/>
    <col min="15107" max="15107" width="17.5703125" style="807" customWidth="1"/>
    <col min="15108" max="15108" width="19.7109375" style="807" customWidth="1"/>
    <col min="15109" max="15109" width="18.140625" style="807" customWidth="1"/>
    <col min="15110" max="15110" width="15.42578125" style="807" customWidth="1"/>
    <col min="15111" max="15111" width="15.7109375" style="807" customWidth="1"/>
    <col min="15112" max="15112" width="12.28515625" style="807" customWidth="1"/>
    <col min="15113" max="15361" width="9.140625" style="807"/>
    <col min="15362" max="15362" width="25.140625" style="807" customWidth="1"/>
    <col min="15363" max="15363" width="17.5703125" style="807" customWidth="1"/>
    <col min="15364" max="15364" width="19.7109375" style="807" customWidth="1"/>
    <col min="15365" max="15365" width="18.140625" style="807" customWidth="1"/>
    <col min="15366" max="15366" width="15.42578125" style="807" customWidth="1"/>
    <col min="15367" max="15367" width="15.7109375" style="807" customWidth="1"/>
    <col min="15368" max="15368" width="12.28515625" style="807" customWidth="1"/>
    <col min="15369" max="15617" width="9.140625" style="807"/>
    <col min="15618" max="15618" width="25.140625" style="807" customWidth="1"/>
    <col min="15619" max="15619" width="17.5703125" style="807" customWidth="1"/>
    <col min="15620" max="15620" width="19.7109375" style="807" customWidth="1"/>
    <col min="15621" max="15621" width="18.140625" style="807" customWidth="1"/>
    <col min="15622" max="15622" width="15.42578125" style="807" customWidth="1"/>
    <col min="15623" max="15623" width="15.7109375" style="807" customWidth="1"/>
    <col min="15624" max="15624" width="12.28515625" style="807" customWidth="1"/>
    <col min="15625" max="15873" width="9.140625" style="807"/>
    <col min="15874" max="15874" width="25.140625" style="807" customWidth="1"/>
    <col min="15875" max="15875" width="17.5703125" style="807" customWidth="1"/>
    <col min="15876" max="15876" width="19.7109375" style="807" customWidth="1"/>
    <col min="15877" max="15877" width="18.140625" style="807" customWidth="1"/>
    <col min="15878" max="15878" width="15.42578125" style="807" customWidth="1"/>
    <col min="15879" max="15879" width="15.7109375" style="807" customWidth="1"/>
    <col min="15880" max="15880" width="12.28515625" style="807" customWidth="1"/>
    <col min="15881" max="16129" width="9.140625" style="807"/>
    <col min="16130" max="16130" width="25.140625" style="807" customWidth="1"/>
    <col min="16131" max="16131" width="17.5703125" style="807" customWidth="1"/>
    <col min="16132" max="16132" width="19.7109375" style="807" customWidth="1"/>
    <col min="16133" max="16133" width="18.140625" style="807" customWidth="1"/>
    <col min="16134" max="16134" width="15.42578125" style="807" customWidth="1"/>
    <col min="16135" max="16135" width="15.7109375" style="807" customWidth="1"/>
    <col min="16136" max="16136" width="12.28515625" style="807" customWidth="1"/>
    <col min="16137" max="16384" width="9.140625" style="807"/>
  </cols>
  <sheetData>
    <row r="1" spans="1:9" s="795" customFormat="1" x14ac:dyDescent="0.2">
      <c r="C1" s="34"/>
      <c r="D1" s="34"/>
      <c r="E1" s="34"/>
      <c r="F1" s="1237" t="s">
        <v>841</v>
      </c>
      <c r="G1" s="1237"/>
    </row>
    <row r="2" spans="1:9" s="795" customFormat="1" ht="30.75" customHeight="1" x14ac:dyDescent="0.3">
      <c r="A2" s="820"/>
      <c r="B2" s="1180" t="s">
        <v>788</v>
      </c>
      <c r="C2" s="1180"/>
      <c r="D2" s="1180"/>
      <c r="E2" s="1180"/>
      <c r="F2" s="1180"/>
      <c r="G2" s="33"/>
      <c r="H2" s="33"/>
      <c r="I2" s="33"/>
    </row>
    <row r="3" spans="1:9" s="795" customFormat="1" ht="20.25" x14ac:dyDescent="0.3">
      <c r="G3" s="796"/>
    </row>
    <row r="4" spans="1:9" ht="18" customHeight="1" x14ac:dyDescent="0.25">
      <c r="A4" s="1505" t="s">
        <v>842</v>
      </c>
      <c r="B4" s="1505"/>
      <c r="C4" s="1505"/>
      <c r="D4" s="1505"/>
      <c r="E4" s="1505"/>
      <c r="F4" s="1505"/>
      <c r="G4" s="1505"/>
      <c r="H4" s="821"/>
    </row>
    <row r="5" spans="1:9" ht="15.75" x14ac:dyDescent="0.25">
      <c r="C5" s="808"/>
      <c r="D5" s="809"/>
      <c r="E5" s="808"/>
      <c r="F5" s="808"/>
      <c r="G5" s="808"/>
      <c r="H5" s="808"/>
    </row>
    <row r="6" spans="1:9" x14ac:dyDescent="0.25">
      <c r="A6" s="810" t="s">
        <v>843</v>
      </c>
    </row>
    <row r="7" spans="1:9" x14ac:dyDescent="0.25">
      <c r="B7" s="811"/>
    </row>
    <row r="8" spans="1:9" s="812" customFormat="1" ht="30.75" customHeight="1" x14ac:dyDescent="0.25">
      <c r="A8" s="1506" t="s">
        <v>2</v>
      </c>
      <c r="B8" s="1507" t="s">
        <v>3</v>
      </c>
      <c r="C8" s="1509" t="s">
        <v>844</v>
      </c>
      <c r="D8" s="1507" t="s">
        <v>845</v>
      </c>
      <c r="E8" s="1509" t="s">
        <v>846</v>
      </c>
      <c r="F8" s="1509"/>
      <c r="G8" s="1509"/>
    </row>
    <row r="9" spans="1:9" s="812" customFormat="1" ht="53.25" customHeight="1" x14ac:dyDescent="0.25">
      <c r="A9" s="1506"/>
      <c r="B9" s="1508"/>
      <c r="C9" s="1509"/>
      <c r="D9" s="1508"/>
      <c r="E9" s="813" t="s">
        <v>847</v>
      </c>
      <c r="F9" s="813" t="s">
        <v>848</v>
      </c>
      <c r="G9" s="813" t="s">
        <v>18</v>
      </c>
    </row>
    <row r="10" spans="1:9" s="812" customFormat="1" ht="16.149999999999999" customHeight="1" x14ac:dyDescent="0.25">
      <c r="A10" s="814">
        <v>1</v>
      </c>
      <c r="B10" s="815">
        <v>2</v>
      </c>
      <c r="C10" s="815">
        <v>3</v>
      </c>
      <c r="D10" s="815">
        <v>4</v>
      </c>
      <c r="E10" s="816">
        <v>5</v>
      </c>
      <c r="F10" s="816">
        <v>6</v>
      </c>
      <c r="G10" s="816">
        <v>7</v>
      </c>
    </row>
    <row r="11" spans="1:9" s="812" customFormat="1" ht="16.149999999999999" customHeight="1" x14ac:dyDescent="0.25">
      <c r="A11" s="626">
        <v>1</v>
      </c>
      <c r="B11" s="627" t="s">
        <v>386</v>
      </c>
      <c r="C11" s="879">
        <v>535</v>
      </c>
      <c r="D11" s="879">
        <v>432</v>
      </c>
      <c r="E11" s="880">
        <f>D11*9000*0.00001</f>
        <v>38.880000000000003</v>
      </c>
      <c r="F11" s="880">
        <f>D11*1000*0.00001</f>
        <v>4.32</v>
      </c>
      <c r="G11" s="880">
        <f>E11+F11</f>
        <v>43.2</v>
      </c>
    </row>
    <row r="12" spans="1:9" s="812" customFormat="1" ht="16.149999999999999" customHeight="1" x14ac:dyDescent="0.25">
      <c r="A12" s="626">
        <v>2</v>
      </c>
      <c r="B12" s="627" t="s">
        <v>387</v>
      </c>
      <c r="C12" s="879">
        <v>207</v>
      </c>
      <c r="D12" s="879">
        <v>207</v>
      </c>
      <c r="E12" s="880">
        <f t="shared" ref="E12:E23" si="0">D12*9000*0.00001</f>
        <v>18.630000000000003</v>
      </c>
      <c r="F12" s="880">
        <f t="shared" ref="F12:F23" si="1">D12*1000*0.00001</f>
        <v>2.0700000000000003</v>
      </c>
      <c r="G12" s="880">
        <f t="shared" ref="G12:G23" si="2">E12+F12</f>
        <v>20.700000000000003</v>
      </c>
      <c r="I12" s="812">
        <f>10000*90%</f>
        <v>9000</v>
      </c>
    </row>
    <row r="13" spans="1:9" s="812" customFormat="1" ht="16.149999999999999" customHeight="1" x14ac:dyDescent="0.25">
      <c r="A13" s="626">
        <v>3</v>
      </c>
      <c r="B13" s="627" t="s">
        <v>388</v>
      </c>
      <c r="C13" s="879">
        <v>335</v>
      </c>
      <c r="D13" s="879">
        <v>334</v>
      </c>
      <c r="E13" s="880">
        <f t="shared" si="0"/>
        <v>30.060000000000002</v>
      </c>
      <c r="F13" s="880">
        <f t="shared" si="1"/>
        <v>3.3400000000000003</v>
      </c>
      <c r="G13" s="880">
        <f t="shared" si="2"/>
        <v>33.400000000000006</v>
      </c>
    </row>
    <row r="14" spans="1:9" s="812" customFormat="1" ht="16.149999999999999" customHeight="1" x14ac:dyDescent="0.25">
      <c r="A14" s="626">
        <v>4</v>
      </c>
      <c r="B14" s="627" t="s">
        <v>389</v>
      </c>
      <c r="C14" s="879">
        <v>171</v>
      </c>
      <c r="D14" s="879">
        <v>169</v>
      </c>
      <c r="E14" s="880">
        <f t="shared" si="0"/>
        <v>15.21</v>
      </c>
      <c r="F14" s="880">
        <f t="shared" si="1"/>
        <v>1.6900000000000002</v>
      </c>
      <c r="G14" s="880">
        <f t="shared" si="2"/>
        <v>16.900000000000002</v>
      </c>
    </row>
    <row r="15" spans="1:9" s="812" customFormat="1" ht="16.149999999999999" customHeight="1" x14ac:dyDescent="0.25">
      <c r="A15" s="626">
        <v>5</v>
      </c>
      <c r="B15" s="627" t="s">
        <v>390</v>
      </c>
      <c r="C15" s="879">
        <v>425</v>
      </c>
      <c r="D15" s="879">
        <v>416</v>
      </c>
      <c r="E15" s="880">
        <f t="shared" si="0"/>
        <v>37.440000000000005</v>
      </c>
      <c r="F15" s="880">
        <f t="shared" si="1"/>
        <v>4.16</v>
      </c>
      <c r="G15" s="880">
        <f t="shared" si="2"/>
        <v>41.600000000000009</v>
      </c>
    </row>
    <row r="16" spans="1:9" s="812" customFormat="1" ht="16.149999999999999" customHeight="1" x14ac:dyDescent="0.25">
      <c r="A16" s="626">
        <v>6</v>
      </c>
      <c r="B16" s="627" t="s">
        <v>391</v>
      </c>
      <c r="C16" s="879">
        <v>363</v>
      </c>
      <c r="D16" s="879">
        <v>363</v>
      </c>
      <c r="E16" s="880">
        <f t="shared" si="0"/>
        <v>32.67</v>
      </c>
      <c r="F16" s="880">
        <f t="shared" si="1"/>
        <v>3.6300000000000003</v>
      </c>
      <c r="G16" s="880">
        <f t="shared" si="2"/>
        <v>36.300000000000004</v>
      </c>
    </row>
    <row r="17" spans="1:33" s="812" customFormat="1" ht="16.149999999999999" customHeight="1" x14ac:dyDescent="0.25">
      <c r="A17" s="626">
        <v>7</v>
      </c>
      <c r="B17" s="627" t="s">
        <v>392</v>
      </c>
      <c r="C17" s="879">
        <v>314</v>
      </c>
      <c r="D17" s="879">
        <v>314</v>
      </c>
      <c r="E17" s="880">
        <f t="shared" si="0"/>
        <v>28.26</v>
      </c>
      <c r="F17" s="880">
        <f t="shared" si="1"/>
        <v>3.14</v>
      </c>
      <c r="G17" s="880">
        <f t="shared" si="2"/>
        <v>31.400000000000002</v>
      </c>
    </row>
    <row r="18" spans="1:33" ht="18.75" x14ac:dyDescent="0.25">
      <c r="A18" s="626">
        <v>8</v>
      </c>
      <c r="B18" s="627" t="s">
        <v>393</v>
      </c>
      <c r="C18" s="879">
        <v>569</v>
      </c>
      <c r="D18" s="879">
        <v>561</v>
      </c>
      <c r="E18" s="880">
        <f t="shared" si="0"/>
        <v>50.49</v>
      </c>
      <c r="F18" s="880">
        <f t="shared" si="1"/>
        <v>5.61</v>
      </c>
      <c r="G18" s="880">
        <f t="shared" si="2"/>
        <v>56.1</v>
      </c>
    </row>
    <row r="19" spans="1:33" ht="18.75" x14ac:dyDescent="0.25">
      <c r="A19" s="626">
        <v>9</v>
      </c>
      <c r="B19" s="627" t="s">
        <v>394</v>
      </c>
      <c r="C19" s="879">
        <v>380</v>
      </c>
      <c r="D19" s="879">
        <v>380</v>
      </c>
      <c r="E19" s="880">
        <f>D19*9000*0.00001</f>
        <v>34.200000000000003</v>
      </c>
      <c r="F19" s="880">
        <f t="shared" si="1"/>
        <v>3.8000000000000003</v>
      </c>
      <c r="G19" s="880">
        <f t="shared" si="2"/>
        <v>38</v>
      </c>
    </row>
    <row r="20" spans="1:33" ht="18.75" x14ac:dyDescent="0.25">
      <c r="A20" s="626">
        <v>10</v>
      </c>
      <c r="B20" s="627" t="s">
        <v>395</v>
      </c>
      <c r="C20" s="879">
        <v>188</v>
      </c>
      <c r="D20" s="879">
        <v>180</v>
      </c>
      <c r="E20" s="880">
        <f t="shared" si="0"/>
        <v>16.200000000000003</v>
      </c>
      <c r="F20" s="880">
        <f t="shared" si="1"/>
        <v>1.8</v>
      </c>
      <c r="G20" s="880">
        <f t="shared" si="2"/>
        <v>18.000000000000004</v>
      </c>
    </row>
    <row r="21" spans="1:33" ht="18.75" x14ac:dyDescent="0.25">
      <c r="A21" s="626">
        <v>11</v>
      </c>
      <c r="B21" s="627" t="s">
        <v>396</v>
      </c>
      <c r="C21" s="879">
        <v>774</v>
      </c>
      <c r="D21" s="879">
        <v>737</v>
      </c>
      <c r="E21" s="880">
        <f t="shared" si="0"/>
        <v>66.330000000000013</v>
      </c>
      <c r="F21" s="880">
        <f t="shared" si="1"/>
        <v>7.370000000000001</v>
      </c>
      <c r="G21" s="880">
        <f t="shared" si="2"/>
        <v>73.700000000000017</v>
      </c>
    </row>
    <row r="22" spans="1:33" s="817" customFormat="1" ht="18.75" x14ac:dyDescent="0.25">
      <c r="A22" s="626">
        <v>12</v>
      </c>
      <c r="B22" s="627" t="s">
        <v>397</v>
      </c>
      <c r="C22" s="879">
        <v>283</v>
      </c>
      <c r="D22" s="879">
        <v>278</v>
      </c>
      <c r="E22" s="880">
        <f t="shared" si="0"/>
        <v>25.020000000000003</v>
      </c>
      <c r="F22" s="880">
        <f t="shared" si="1"/>
        <v>2.7800000000000002</v>
      </c>
      <c r="G22" s="880">
        <f t="shared" si="2"/>
        <v>27.800000000000004</v>
      </c>
      <c r="H22" s="818"/>
      <c r="I22" s="818"/>
      <c r="J22" s="818"/>
      <c r="K22" s="818"/>
      <c r="L22" s="818"/>
      <c r="M22" s="818"/>
      <c r="N22" s="818"/>
      <c r="O22" s="818"/>
      <c r="P22" s="818"/>
      <c r="Q22" s="818"/>
      <c r="R22" s="818"/>
      <c r="S22" s="818"/>
      <c r="T22" s="818"/>
      <c r="U22" s="818"/>
      <c r="V22" s="818"/>
      <c r="W22" s="818"/>
      <c r="X22" s="818"/>
      <c r="Y22" s="818"/>
      <c r="Z22" s="818"/>
      <c r="AA22" s="818"/>
      <c r="AB22" s="818"/>
      <c r="AC22" s="818"/>
      <c r="AD22" s="818"/>
      <c r="AE22" s="818"/>
      <c r="AF22" s="818"/>
      <c r="AG22" s="818"/>
    </row>
    <row r="23" spans="1:33" ht="18.75" x14ac:dyDescent="0.25">
      <c r="A23" s="626">
        <v>13</v>
      </c>
      <c r="B23" s="627" t="s">
        <v>398</v>
      </c>
      <c r="C23" s="879">
        <v>428</v>
      </c>
      <c r="D23" s="879">
        <v>417</v>
      </c>
      <c r="E23" s="880">
        <f t="shared" si="0"/>
        <v>37.53</v>
      </c>
      <c r="F23" s="880">
        <f t="shared" si="1"/>
        <v>4.17</v>
      </c>
      <c r="G23" s="880">
        <f t="shared" si="2"/>
        <v>41.7</v>
      </c>
    </row>
    <row r="24" spans="1:33" ht="18.75" x14ac:dyDescent="0.25">
      <c r="A24" s="630"/>
      <c r="B24" s="630" t="s">
        <v>18</v>
      </c>
      <c r="C24" s="881">
        <f>SUM(C11:C23)</f>
        <v>4972</v>
      </c>
      <c r="D24" s="881">
        <f t="shared" ref="D24:G24" si="3">SUM(D11:D23)</f>
        <v>4788</v>
      </c>
      <c r="E24" s="882">
        <f t="shared" si="3"/>
        <v>430.91999999999996</v>
      </c>
      <c r="F24" s="882">
        <f t="shared" si="3"/>
        <v>47.88000000000001</v>
      </c>
      <c r="G24" s="882">
        <f t="shared" si="3"/>
        <v>478.80000000000007</v>
      </c>
    </row>
    <row r="25" spans="1:33" x14ac:dyDescent="0.25">
      <c r="A25" s="819"/>
      <c r="B25" s="818"/>
      <c r="C25" s="818"/>
      <c r="D25" s="818"/>
      <c r="E25" s="818"/>
      <c r="F25" s="818"/>
      <c r="G25" s="818"/>
    </row>
    <row r="26" spans="1:33" s="795" customFormat="1" ht="12.75" customHeight="1" x14ac:dyDescent="0.2">
      <c r="A26" s="11" t="s">
        <v>11</v>
      </c>
      <c r="G26" s="11"/>
    </row>
    <row r="27" spans="1:33" s="795" customFormat="1" ht="12.75" x14ac:dyDescent="0.2">
      <c r="A27" s="11"/>
      <c r="B27" s="11"/>
    </row>
    <row r="28" spans="1:33" x14ac:dyDescent="0.25">
      <c r="F28" s="1073" t="s">
        <v>12</v>
      </c>
      <c r="G28" s="1073"/>
    </row>
    <row r="29" spans="1:33" x14ac:dyDescent="0.25">
      <c r="A29" s="11"/>
      <c r="C29" s="24"/>
      <c r="D29" s="24"/>
      <c r="E29" s="24" t="s">
        <v>13</v>
      </c>
      <c r="F29" s="24"/>
      <c r="G29" s="24"/>
      <c r="H29" s="24"/>
      <c r="I29" s="24"/>
      <c r="J29" s="24"/>
    </row>
    <row r="30" spans="1:33" x14ac:dyDescent="0.25">
      <c r="B30" s="24"/>
      <c r="C30" s="24"/>
      <c r="D30" s="24"/>
      <c r="E30" s="24" t="s">
        <v>87</v>
      </c>
      <c r="F30" s="24"/>
      <c r="G30" s="24"/>
      <c r="H30" s="24"/>
      <c r="I30" s="24"/>
      <c r="J30" s="24"/>
    </row>
    <row r="31" spans="1:33" x14ac:dyDescent="0.25">
      <c r="A31" s="795"/>
      <c r="B31" s="11"/>
      <c r="C31" s="11"/>
      <c r="D31" s="11"/>
      <c r="E31" s="1075" t="s">
        <v>84</v>
      </c>
      <c r="F31" s="1075"/>
      <c r="G31" s="1075"/>
    </row>
  </sheetData>
  <mergeCells count="10">
    <mergeCell ref="F28:G28"/>
    <mergeCell ref="E31:G31"/>
    <mergeCell ref="A4:G4"/>
    <mergeCell ref="F1:G1"/>
    <mergeCell ref="B2:F2"/>
    <mergeCell ref="A8:A9"/>
    <mergeCell ref="B8:B9"/>
    <mergeCell ref="C8:C9"/>
    <mergeCell ref="D8:D9"/>
    <mergeCell ref="E8:G8"/>
  </mergeCells>
  <printOptions horizontalCentered="1"/>
  <pageMargins left="0.70866141732283472" right="0.70866141732283472" top="0.23622047244094491" bottom="0" header="0.31496062992125984" footer="0.31496062992125984"/>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5" tint="0.39997558519241921"/>
    <pageSetUpPr fitToPage="1"/>
  </sheetPr>
  <dimension ref="A1:Z34"/>
  <sheetViews>
    <sheetView view="pageBreakPreview" topLeftCell="E5" zoomScale="90" zoomScaleNormal="90" zoomScaleSheetLayoutView="90" workbookViewId="0">
      <selection activeCell="S25" sqref="S25"/>
    </sheetView>
  </sheetViews>
  <sheetFormatPr defaultRowHeight="15" x14ac:dyDescent="0.25"/>
  <cols>
    <col min="1" max="1" width="9.140625" style="807"/>
    <col min="2" max="2" width="15.140625" style="807" customWidth="1"/>
    <col min="3" max="3" width="8.7109375" style="807" customWidth="1"/>
    <col min="4" max="4" width="9" style="807" customWidth="1"/>
    <col min="5" max="5" width="7.42578125" style="807" customWidth="1"/>
    <col min="6" max="6" width="9.140625" style="807" customWidth="1"/>
    <col min="7" max="7" width="9.5703125" style="807" customWidth="1"/>
    <col min="8" max="8" width="8.140625" style="807" customWidth="1"/>
    <col min="9" max="9" width="6.85546875" style="807" customWidth="1"/>
    <col min="10" max="10" width="9.28515625" style="807" customWidth="1"/>
    <col min="11" max="11" width="10.5703125" style="807" customWidth="1"/>
    <col min="12" max="12" width="8.7109375" style="807" customWidth="1"/>
    <col min="13" max="13" width="7.42578125" style="807" customWidth="1"/>
    <col min="14" max="14" width="8.5703125" style="807" customWidth="1"/>
    <col min="15" max="15" width="8.7109375" style="807" customWidth="1"/>
    <col min="16" max="16" width="8.5703125" style="807" customWidth="1"/>
    <col min="17" max="17" width="7.85546875" style="807" customWidth="1"/>
    <col min="18" max="18" width="8.5703125" style="807" customWidth="1"/>
    <col min="19" max="20" width="10.5703125" style="807" customWidth="1"/>
    <col min="21" max="21" width="11.140625" style="807" customWidth="1"/>
    <col min="22" max="22" width="10.7109375" style="807" bestFit="1" customWidth="1"/>
    <col min="23" max="23" width="9.140625" style="807"/>
    <col min="24" max="24" width="13.7109375" style="807" customWidth="1"/>
    <col min="25" max="25" width="9.140625" style="807"/>
    <col min="26" max="26" width="13.42578125" style="807" customWidth="1"/>
    <col min="27" max="257" width="9.140625" style="807"/>
    <col min="258" max="258" width="11.28515625" style="807" customWidth="1"/>
    <col min="259" max="259" width="9.7109375" style="807" customWidth="1"/>
    <col min="260" max="260" width="8.140625" style="807" customWidth="1"/>
    <col min="261" max="261" width="7.42578125" style="807" customWidth="1"/>
    <col min="262" max="262" width="9.140625" style="807" customWidth="1"/>
    <col min="263" max="263" width="9.5703125" style="807" customWidth="1"/>
    <col min="264" max="264" width="8.140625" style="807" customWidth="1"/>
    <col min="265" max="265" width="6.85546875" style="807" customWidth="1"/>
    <col min="266" max="266" width="9.28515625" style="807" customWidth="1"/>
    <col min="267" max="267" width="10.5703125" style="807" customWidth="1"/>
    <col min="268" max="268" width="8.7109375" style="807" customWidth="1"/>
    <col min="269" max="269" width="7.42578125" style="807" customWidth="1"/>
    <col min="270" max="270" width="8.5703125" style="807" customWidth="1"/>
    <col min="271" max="271" width="8.7109375" style="807" customWidth="1"/>
    <col min="272" max="272" width="8.5703125" style="807" customWidth="1"/>
    <col min="273" max="273" width="7.85546875" style="807" customWidth="1"/>
    <col min="274" max="274" width="8.5703125" style="807" customWidth="1"/>
    <col min="275" max="276" width="10.5703125" style="807" customWidth="1"/>
    <col min="277" max="277" width="11.140625" style="807" customWidth="1"/>
    <col min="278" max="278" width="10.7109375" style="807" bestFit="1" customWidth="1"/>
    <col min="279" max="513" width="9.140625" style="807"/>
    <col min="514" max="514" width="11.28515625" style="807" customWidth="1"/>
    <col min="515" max="515" width="9.7109375" style="807" customWidth="1"/>
    <col min="516" max="516" width="8.140625" style="807" customWidth="1"/>
    <col min="517" max="517" width="7.42578125" style="807" customWidth="1"/>
    <col min="518" max="518" width="9.140625" style="807" customWidth="1"/>
    <col min="519" max="519" width="9.5703125" style="807" customWidth="1"/>
    <col min="520" max="520" width="8.140625" style="807" customWidth="1"/>
    <col min="521" max="521" width="6.85546875" style="807" customWidth="1"/>
    <col min="522" max="522" width="9.28515625" style="807" customWidth="1"/>
    <col min="523" max="523" width="10.5703125" style="807" customWidth="1"/>
    <col min="524" max="524" width="8.7109375" style="807" customWidth="1"/>
    <col min="525" max="525" width="7.42578125" style="807" customWidth="1"/>
    <col min="526" max="526" width="8.5703125" style="807" customWidth="1"/>
    <col min="527" max="527" width="8.7109375" style="807" customWidth="1"/>
    <col min="528" max="528" width="8.5703125" style="807" customWidth="1"/>
    <col min="529" max="529" width="7.85546875" style="807" customWidth="1"/>
    <col min="530" max="530" width="8.5703125" style="807" customWidth="1"/>
    <col min="531" max="532" width="10.5703125" style="807" customWidth="1"/>
    <col min="533" max="533" width="11.140625" style="807" customWidth="1"/>
    <col min="534" max="534" width="10.7109375" style="807" bestFit="1" customWidth="1"/>
    <col min="535" max="769" width="9.140625" style="807"/>
    <col min="770" max="770" width="11.28515625" style="807" customWidth="1"/>
    <col min="771" max="771" width="9.7109375" style="807" customWidth="1"/>
    <col min="772" max="772" width="8.140625" style="807" customWidth="1"/>
    <col min="773" max="773" width="7.42578125" style="807" customWidth="1"/>
    <col min="774" max="774" width="9.140625" style="807" customWidth="1"/>
    <col min="775" max="775" width="9.5703125" style="807" customWidth="1"/>
    <col min="776" max="776" width="8.140625" style="807" customWidth="1"/>
    <col min="777" max="777" width="6.85546875" style="807" customWidth="1"/>
    <col min="778" max="778" width="9.28515625" style="807" customWidth="1"/>
    <col min="779" max="779" width="10.5703125" style="807" customWidth="1"/>
    <col min="780" max="780" width="8.7109375" style="807" customWidth="1"/>
    <col min="781" max="781" width="7.42578125" style="807" customWidth="1"/>
    <col min="782" max="782" width="8.5703125" style="807" customWidth="1"/>
    <col min="783" max="783" width="8.7109375" style="807" customWidth="1"/>
    <col min="784" max="784" width="8.5703125" style="807" customWidth="1"/>
    <col min="785" max="785" width="7.85546875" style="807" customWidth="1"/>
    <col min="786" max="786" width="8.5703125" style="807" customWidth="1"/>
    <col min="787" max="788" width="10.5703125" style="807" customWidth="1"/>
    <col min="789" max="789" width="11.140625" style="807" customWidth="1"/>
    <col min="790" max="790" width="10.7109375" style="807" bestFit="1" customWidth="1"/>
    <col min="791" max="1025" width="9.140625" style="807"/>
    <col min="1026" max="1026" width="11.28515625" style="807" customWidth="1"/>
    <col min="1027" max="1027" width="9.7109375" style="807" customWidth="1"/>
    <col min="1028" max="1028" width="8.140625" style="807" customWidth="1"/>
    <col min="1029" max="1029" width="7.42578125" style="807" customWidth="1"/>
    <col min="1030" max="1030" width="9.140625" style="807" customWidth="1"/>
    <col min="1031" max="1031" width="9.5703125" style="807" customWidth="1"/>
    <col min="1032" max="1032" width="8.140625" style="807" customWidth="1"/>
    <col min="1033" max="1033" width="6.85546875" style="807" customWidth="1"/>
    <col min="1034" max="1034" width="9.28515625" style="807" customWidth="1"/>
    <col min="1035" max="1035" width="10.5703125" style="807" customWidth="1"/>
    <col min="1036" max="1036" width="8.7109375" style="807" customWidth="1"/>
    <col min="1037" max="1037" width="7.42578125" style="807" customWidth="1"/>
    <col min="1038" max="1038" width="8.5703125" style="807" customWidth="1"/>
    <col min="1039" max="1039" width="8.7109375" style="807" customWidth="1"/>
    <col min="1040" max="1040" width="8.5703125" style="807" customWidth="1"/>
    <col min="1041" max="1041" width="7.85546875" style="807" customWidth="1"/>
    <col min="1042" max="1042" width="8.5703125" style="807" customWidth="1"/>
    <col min="1043" max="1044" width="10.5703125" style="807" customWidth="1"/>
    <col min="1045" max="1045" width="11.140625" style="807" customWidth="1"/>
    <col min="1046" max="1046" width="10.7109375" style="807" bestFit="1" customWidth="1"/>
    <col min="1047" max="1281" width="9.140625" style="807"/>
    <col min="1282" max="1282" width="11.28515625" style="807" customWidth="1"/>
    <col min="1283" max="1283" width="9.7109375" style="807" customWidth="1"/>
    <col min="1284" max="1284" width="8.140625" style="807" customWidth="1"/>
    <col min="1285" max="1285" width="7.42578125" style="807" customWidth="1"/>
    <col min="1286" max="1286" width="9.140625" style="807" customWidth="1"/>
    <col min="1287" max="1287" width="9.5703125" style="807" customWidth="1"/>
    <col min="1288" max="1288" width="8.140625" style="807" customWidth="1"/>
    <col min="1289" max="1289" width="6.85546875" style="807" customWidth="1"/>
    <col min="1290" max="1290" width="9.28515625" style="807" customWidth="1"/>
    <col min="1291" max="1291" width="10.5703125" style="807" customWidth="1"/>
    <col min="1292" max="1292" width="8.7109375" style="807" customWidth="1"/>
    <col min="1293" max="1293" width="7.42578125" style="807" customWidth="1"/>
    <col min="1294" max="1294" width="8.5703125" style="807" customWidth="1"/>
    <col min="1295" max="1295" width="8.7109375" style="807" customWidth="1"/>
    <col min="1296" max="1296" width="8.5703125" style="807" customWidth="1"/>
    <col min="1297" max="1297" width="7.85546875" style="807" customWidth="1"/>
    <col min="1298" max="1298" width="8.5703125" style="807" customWidth="1"/>
    <col min="1299" max="1300" width="10.5703125" style="807" customWidth="1"/>
    <col min="1301" max="1301" width="11.140625" style="807" customWidth="1"/>
    <col min="1302" max="1302" width="10.7109375" style="807" bestFit="1" customWidth="1"/>
    <col min="1303" max="1537" width="9.140625" style="807"/>
    <col min="1538" max="1538" width="11.28515625" style="807" customWidth="1"/>
    <col min="1539" max="1539" width="9.7109375" style="807" customWidth="1"/>
    <col min="1540" max="1540" width="8.140625" style="807" customWidth="1"/>
    <col min="1541" max="1541" width="7.42578125" style="807" customWidth="1"/>
    <col min="1542" max="1542" width="9.140625" style="807" customWidth="1"/>
    <col min="1543" max="1543" width="9.5703125" style="807" customWidth="1"/>
    <col min="1544" max="1544" width="8.140625" style="807" customWidth="1"/>
    <col min="1545" max="1545" width="6.85546875" style="807" customWidth="1"/>
    <col min="1546" max="1546" width="9.28515625" style="807" customWidth="1"/>
    <col min="1547" max="1547" width="10.5703125" style="807" customWidth="1"/>
    <col min="1548" max="1548" width="8.7109375" style="807" customWidth="1"/>
    <col min="1549" max="1549" width="7.42578125" style="807" customWidth="1"/>
    <col min="1550" max="1550" width="8.5703125" style="807" customWidth="1"/>
    <col min="1551" max="1551" width="8.7109375" style="807" customWidth="1"/>
    <col min="1552" max="1552" width="8.5703125" style="807" customWidth="1"/>
    <col min="1553" max="1553" width="7.85546875" style="807" customWidth="1"/>
    <col min="1554" max="1554" width="8.5703125" style="807" customWidth="1"/>
    <col min="1555" max="1556" width="10.5703125" style="807" customWidth="1"/>
    <col min="1557" max="1557" width="11.140625" style="807" customWidth="1"/>
    <col min="1558" max="1558" width="10.7109375" style="807" bestFit="1" customWidth="1"/>
    <col min="1559" max="1793" width="9.140625" style="807"/>
    <col min="1794" max="1794" width="11.28515625" style="807" customWidth="1"/>
    <col min="1795" max="1795" width="9.7109375" style="807" customWidth="1"/>
    <col min="1796" max="1796" width="8.140625" style="807" customWidth="1"/>
    <col min="1797" max="1797" width="7.42578125" style="807" customWidth="1"/>
    <col min="1798" max="1798" width="9.140625" style="807" customWidth="1"/>
    <col min="1799" max="1799" width="9.5703125" style="807" customWidth="1"/>
    <col min="1800" max="1800" width="8.140625" style="807" customWidth="1"/>
    <col min="1801" max="1801" width="6.85546875" style="807" customWidth="1"/>
    <col min="1802" max="1802" width="9.28515625" style="807" customWidth="1"/>
    <col min="1803" max="1803" width="10.5703125" style="807" customWidth="1"/>
    <col min="1804" max="1804" width="8.7109375" style="807" customWidth="1"/>
    <col min="1805" max="1805" width="7.42578125" style="807" customWidth="1"/>
    <col min="1806" max="1806" width="8.5703125" style="807" customWidth="1"/>
    <col min="1807" max="1807" width="8.7109375" style="807" customWidth="1"/>
    <col min="1808" max="1808" width="8.5703125" style="807" customWidth="1"/>
    <col min="1809" max="1809" width="7.85546875" style="807" customWidth="1"/>
    <col min="1810" max="1810" width="8.5703125" style="807" customWidth="1"/>
    <col min="1811" max="1812" width="10.5703125" style="807" customWidth="1"/>
    <col min="1813" max="1813" width="11.140625" style="807" customWidth="1"/>
    <col min="1814" max="1814" width="10.7109375" style="807" bestFit="1" customWidth="1"/>
    <col min="1815" max="2049" width="9.140625" style="807"/>
    <col min="2050" max="2050" width="11.28515625" style="807" customWidth="1"/>
    <col min="2051" max="2051" width="9.7109375" style="807" customWidth="1"/>
    <col min="2052" max="2052" width="8.140625" style="807" customWidth="1"/>
    <col min="2053" max="2053" width="7.42578125" style="807" customWidth="1"/>
    <col min="2054" max="2054" width="9.140625" style="807" customWidth="1"/>
    <col min="2055" max="2055" width="9.5703125" style="807" customWidth="1"/>
    <col min="2056" max="2056" width="8.140625" style="807" customWidth="1"/>
    <col min="2057" max="2057" width="6.85546875" style="807" customWidth="1"/>
    <col min="2058" max="2058" width="9.28515625" style="807" customWidth="1"/>
    <col min="2059" max="2059" width="10.5703125" style="807" customWidth="1"/>
    <col min="2060" max="2060" width="8.7109375" style="807" customWidth="1"/>
    <col min="2061" max="2061" width="7.42578125" style="807" customWidth="1"/>
    <col min="2062" max="2062" width="8.5703125" style="807" customWidth="1"/>
    <col min="2063" max="2063" width="8.7109375" style="807" customWidth="1"/>
    <col min="2064" max="2064" width="8.5703125" style="807" customWidth="1"/>
    <col min="2065" max="2065" width="7.85546875" style="807" customWidth="1"/>
    <col min="2066" max="2066" width="8.5703125" style="807" customWidth="1"/>
    <col min="2067" max="2068" width="10.5703125" style="807" customWidth="1"/>
    <col min="2069" max="2069" width="11.140625" style="807" customWidth="1"/>
    <col min="2070" max="2070" width="10.7109375" style="807" bestFit="1" customWidth="1"/>
    <col min="2071" max="2305" width="9.140625" style="807"/>
    <col min="2306" max="2306" width="11.28515625" style="807" customWidth="1"/>
    <col min="2307" max="2307" width="9.7109375" style="807" customWidth="1"/>
    <col min="2308" max="2308" width="8.140625" style="807" customWidth="1"/>
    <col min="2309" max="2309" width="7.42578125" style="807" customWidth="1"/>
    <col min="2310" max="2310" width="9.140625" style="807" customWidth="1"/>
    <col min="2311" max="2311" width="9.5703125" style="807" customWidth="1"/>
    <col min="2312" max="2312" width="8.140625" style="807" customWidth="1"/>
    <col min="2313" max="2313" width="6.85546875" style="807" customWidth="1"/>
    <col min="2314" max="2314" width="9.28515625" style="807" customWidth="1"/>
    <col min="2315" max="2315" width="10.5703125" style="807" customWidth="1"/>
    <col min="2316" max="2316" width="8.7109375" style="807" customWidth="1"/>
    <col min="2317" max="2317" width="7.42578125" style="807" customWidth="1"/>
    <col min="2318" max="2318" width="8.5703125" style="807" customWidth="1"/>
    <col min="2319" max="2319" width="8.7109375" style="807" customWidth="1"/>
    <col min="2320" max="2320" width="8.5703125" style="807" customWidth="1"/>
    <col min="2321" max="2321" width="7.85546875" style="807" customWidth="1"/>
    <col min="2322" max="2322" width="8.5703125" style="807" customWidth="1"/>
    <col min="2323" max="2324" width="10.5703125" style="807" customWidth="1"/>
    <col min="2325" max="2325" width="11.140625" style="807" customWidth="1"/>
    <col min="2326" max="2326" width="10.7109375" style="807" bestFit="1" customWidth="1"/>
    <col min="2327" max="2561" width="9.140625" style="807"/>
    <col min="2562" max="2562" width="11.28515625" style="807" customWidth="1"/>
    <col min="2563" max="2563" width="9.7109375" style="807" customWidth="1"/>
    <col min="2564" max="2564" width="8.140625" style="807" customWidth="1"/>
    <col min="2565" max="2565" width="7.42578125" style="807" customWidth="1"/>
    <col min="2566" max="2566" width="9.140625" style="807" customWidth="1"/>
    <col min="2567" max="2567" width="9.5703125" style="807" customWidth="1"/>
    <col min="2568" max="2568" width="8.140625" style="807" customWidth="1"/>
    <col min="2569" max="2569" width="6.85546875" style="807" customWidth="1"/>
    <col min="2570" max="2570" width="9.28515625" style="807" customWidth="1"/>
    <col min="2571" max="2571" width="10.5703125" style="807" customWidth="1"/>
    <col min="2572" max="2572" width="8.7109375" style="807" customWidth="1"/>
    <col min="2573" max="2573" width="7.42578125" style="807" customWidth="1"/>
    <col min="2574" max="2574" width="8.5703125" style="807" customWidth="1"/>
    <col min="2575" max="2575" width="8.7109375" style="807" customWidth="1"/>
    <col min="2576" max="2576" width="8.5703125" style="807" customWidth="1"/>
    <col min="2577" max="2577" width="7.85546875" style="807" customWidth="1"/>
    <col min="2578" max="2578" width="8.5703125" style="807" customWidth="1"/>
    <col min="2579" max="2580" width="10.5703125" style="807" customWidth="1"/>
    <col min="2581" max="2581" width="11.140625" style="807" customWidth="1"/>
    <col min="2582" max="2582" width="10.7109375" style="807" bestFit="1" customWidth="1"/>
    <col min="2583" max="2817" width="9.140625" style="807"/>
    <col min="2818" max="2818" width="11.28515625" style="807" customWidth="1"/>
    <col min="2819" max="2819" width="9.7109375" style="807" customWidth="1"/>
    <col min="2820" max="2820" width="8.140625" style="807" customWidth="1"/>
    <col min="2821" max="2821" width="7.42578125" style="807" customWidth="1"/>
    <col min="2822" max="2822" width="9.140625" style="807" customWidth="1"/>
    <col min="2823" max="2823" width="9.5703125" style="807" customWidth="1"/>
    <col min="2824" max="2824" width="8.140625" style="807" customWidth="1"/>
    <col min="2825" max="2825" width="6.85546875" style="807" customWidth="1"/>
    <col min="2826" max="2826" width="9.28515625" style="807" customWidth="1"/>
    <col min="2827" max="2827" width="10.5703125" style="807" customWidth="1"/>
    <col min="2828" max="2828" width="8.7109375" style="807" customWidth="1"/>
    <col min="2829" max="2829" width="7.42578125" style="807" customWidth="1"/>
    <col min="2830" max="2830" width="8.5703125" style="807" customWidth="1"/>
    <col min="2831" max="2831" width="8.7109375" style="807" customWidth="1"/>
    <col min="2832" max="2832" width="8.5703125" style="807" customWidth="1"/>
    <col min="2833" max="2833" width="7.85546875" style="807" customWidth="1"/>
    <col min="2834" max="2834" width="8.5703125" style="807" customWidth="1"/>
    <col min="2835" max="2836" width="10.5703125" style="807" customWidth="1"/>
    <col min="2837" max="2837" width="11.140625" style="807" customWidth="1"/>
    <col min="2838" max="2838" width="10.7109375" style="807" bestFit="1" customWidth="1"/>
    <col min="2839" max="3073" width="9.140625" style="807"/>
    <col min="3074" max="3074" width="11.28515625" style="807" customWidth="1"/>
    <col min="3075" max="3075" width="9.7109375" style="807" customWidth="1"/>
    <col min="3076" max="3076" width="8.140625" style="807" customWidth="1"/>
    <col min="3077" max="3077" width="7.42578125" style="807" customWidth="1"/>
    <col min="3078" max="3078" width="9.140625" style="807" customWidth="1"/>
    <col min="3079" max="3079" width="9.5703125" style="807" customWidth="1"/>
    <col min="3080" max="3080" width="8.140625" style="807" customWidth="1"/>
    <col min="3081" max="3081" width="6.85546875" style="807" customWidth="1"/>
    <col min="3082" max="3082" width="9.28515625" style="807" customWidth="1"/>
    <col min="3083" max="3083" width="10.5703125" style="807" customWidth="1"/>
    <col min="3084" max="3084" width="8.7109375" style="807" customWidth="1"/>
    <col min="3085" max="3085" width="7.42578125" style="807" customWidth="1"/>
    <col min="3086" max="3086" width="8.5703125" style="807" customWidth="1"/>
    <col min="3087" max="3087" width="8.7109375" style="807" customWidth="1"/>
    <col min="3088" max="3088" width="8.5703125" style="807" customWidth="1"/>
    <col min="3089" max="3089" width="7.85546875" style="807" customWidth="1"/>
    <col min="3090" max="3090" width="8.5703125" style="807" customWidth="1"/>
    <col min="3091" max="3092" width="10.5703125" style="807" customWidth="1"/>
    <col min="3093" max="3093" width="11.140625" style="807" customWidth="1"/>
    <col min="3094" max="3094" width="10.7109375" style="807" bestFit="1" customWidth="1"/>
    <col min="3095" max="3329" width="9.140625" style="807"/>
    <col min="3330" max="3330" width="11.28515625" style="807" customWidth="1"/>
    <col min="3331" max="3331" width="9.7109375" style="807" customWidth="1"/>
    <col min="3332" max="3332" width="8.140625" style="807" customWidth="1"/>
    <col min="3333" max="3333" width="7.42578125" style="807" customWidth="1"/>
    <col min="3334" max="3334" width="9.140625" style="807" customWidth="1"/>
    <col min="3335" max="3335" width="9.5703125" style="807" customWidth="1"/>
    <col min="3336" max="3336" width="8.140625" style="807" customWidth="1"/>
    <col min="3337" max="3337" width="6.85546875" style="807" customWidth="1"/>
    <col min="3338" max="3338" width="9.28515625" style="807" customWidth="1"/>
    <col min="3339" max="3339" width="10.5703125" style="807" customWidth="1"/>
    <col min="3340" max="3340" width="8.7109375" style="807" customWidth="1"/>
    <col min="3341" max="3341" width="7.42578125" style="807" customWidth="1"/>
    <col min="3342" max="3342" width="8.5703125" style="807" customWidth="1"/>
    <col min="3343" max="3343" width="8.7109375" style="807" customWidth="1"/>
    <col min="3344" max="3344" width="8.5703125" style="807" customWidth="1"/>
    <col min="3345" max="3345" width="7.85546875" style="807" customWidth="1"/>
    <col min="3346" max="3346" width="8.5703125" style="807" customWidth="1"/>
    <col min="3347" max="3348" width="10.5703125" style="807" customWidth="1"/>
    <col min="3349" max="3349" width="11.140625" style="807" customWidth="1"/>
    <col min="3350" max="3350" width="10.7109375" style="807" bestFit="1" customWidth="1"/>
    <col min="3351" max="3585" width="9.140625" style="807"/>
    <col min="3586" max="3586" width="11.28515625" style="807" customWidth="1"/>
    <col min="3587" max="3587" width="9.7109375" style="807" customWidth="1"/>
    <col min="3588" max="3588" width="8.140625" style="807" customWidth="1"/>
    <col min="3589" max="3589" width="7.42578125" style="807" customWidth="1"/>
    <col min="3590" max="3590" width="9.140625" style="807" customWidth="1"/>
    <col min="3591" max="3591" width="9.5703125" style="807" customWidth="1"/>
    <col min="3592" max="3592" width="8.140625" style="807" customWidth="1"/>
    <col min="3593" max="3593" width="6.85546875" style="807" customWidth="1"/>
    <col min="3594" max="3594" width="9.28515625" style="807" customWidth="1"/>
    <col min="3595" max="3595" width="10.5703125" style="807" customWidth="1"/>
    <col min="3596" max="3596" width="8.7109375" style="807" customWidth="1"/>
    <col min="3597" max="3597" width="7.42578125" style="807" customWidth="1"/>
    <col min="3598" max="3598" width="8.5703125" style="807" customWidth="1"/>
    <col min="3599" max="3599" width="8.7109375" style="807" customWidth="1"/>
    <col min="3600" max="3600" width="8.5703125" style="807" customWidth="1"/>
    <col min="3601" max="3601" width="7.85546875" style="807" customWidth="1"/>
    <col min="3602" max="3602" width="8.5703125" style="807" customWidth="1"/>
    <col min="3603" max="3604" width="10.5703125" style="807" customWidth="1"/>
    <col min="3605" max="3605" width="11.140625" style="807" customWidth="1"/>
    <col min="3606" max="3606" width="10.7109375" style="807" bestFit="1" customWidth="1"/>
    <col min="3607" max="3841" width="9.140625" style="807"/>
    <col min="3842" max="3842" width="11.28515625" style="807" customWidth="1"/>
    <col min="3843" max="3843" width="9.7109375" style="807" customWidth="1"/>
    <col min="3844" max="3844" width="8.140625" style="807" customWidth="1"/>
    <col min="3845" max="3845" width="7.42578125" style="807" customWidth="1"/>
    <col min="3846" max="3846" width="9.140625" style="807" customWidth="1"/>
    <col min="3847" max="3847" width="9.5703125" style="807" customWidth="1"/>
    <col min="3848" max="3848" width="8.140625" style="807" customWidth="1"/>
    <col min="3849" max="3849" width="6.85546875" style="807" customWidth="1"/>
    <col min="3850" max="3850" width="9.28515625" style="807" customWidth="1"/>
    <col min="3851" max="3851" width="10.5703125" style="807" customWidth="1"/>
    <col min="3852" max="3852" width="8.7109375" style="807" customWidth="1"/>
    <col min="3853" max="3853" width="7.42578125" style="807" customWidth="1"/>
    <col min="3854" max="3854" width="8.5703125" style="807" customWidth="1"/>
    <col min="3855" max="3855" width="8.7109375" style="807" customWidth="1"/>
    <col min="3856" max="3856" width="8.5703125" style="807" customWidth="1"/>
    <col min="3857" max="3857" width="7.85546875" style="807" customWidth="1"/>
    <col min="3858" max="3858" width="8.5703125" style="807" customWidth="1"/>
    <col min="3859" max="3860" width="10.5703125" style="807" customWidth="1"/>
    <col min="3861" max="3861" width="11.140625" style="807" customWidth="1"/>
    <col min="3862" max="3862" width="10.7109375" style="807" bestFit="1" customWidth="1"/>
    <col min="3863" max="4097" width="9.140625" style="807"/>
    <col min="4098" max="4098" width="11.28515625" style="807" customWidth="1"/>
    <col min="4099" max="4099" width="9.7109375" style="807" customWidth="1"/>
    <col min="4100" max="4100" width="8.140625" style="807" customWidth="1"/>
    <col min="4101" max="4101" width="7.42578125" style="807" customWidth="1"/>
    <col min="4102" max="4102" width="9.140625" style="807" customWidth="1"/>
    <col min="4103" max="4103" width="9.5703125" style="807" customWidth="1"/>
    <col min="4104" max="4104" width="8.140625" style="807" customWidth="1"/>
    <col min="4105" max="4105" width="6.85546875" style="807" customWidth="1"/>
    <col min="4106" max="4106" width="9.28515625" style="807" customWidth="1"/>
    <col min="4107" max="4107" width="10.5703125" style="807" customWidth="1"/>
    <col min="4108" max="4108" width="8.7109375" style="807" customWidth="1"/>
    <col min="4109" max="4109" width="7.42578125" style="807" customWidth="1"/>
    <col min="4110" max="4110" width="8.5703125" style="807" customWidth="1"/>
    <col min="4111" max="4111" width="8.7109375" style="807" customWidth="1"/>
    <col min="4112" max="4112" width="8.5703125" style="807" customWidth="1"/>
    <col min="4113" max="4113" width="7.85546875" style="807" customWidth="1"/>
    <col min="4114" max="4114" width="8.5703125" style="807" customWidth="1"/>
    <col min="4115" max="4116" width="10.5703125" style="807" customWidth="1"/>
    <col min="4117" max="4117" width="11.140625" style="807" customWidth="1"/>
    <col min="4118" max="4118" width="10.7109375" style="807" bestFit="1" customWidth="1"/>
    <col min="4119" max="4353" width="9.140625" style="807"/>
    <col min="4354" max="4354" width="11.28515625" style="807" customWidth="1"/>
    <col min="4355" max="4355" width="9.7109375" style="807" customWidth="1"/>
    <col min="4356" max="4356" width="8.140625" style="807" customWidth="1"/>
    <col min="4357" max="4357" width="7.42578125" style="807" customWidth="1"/>
    <col min="4358" max="4358" width="9.140625" style="807" customWidth="1"/>
    <col min="4359" max="4359" width="9.5703125" style="807" customWidth="1"/>
    <col min="4360" max="4360" width="8.140625" style="807" customWidth="1"/>
    <col min="4361" max="4361" width="6.85546875" style="807" customWidth="1"/>
    <col min="4362" max="4362" width="9.28515625" style="807" customWidth="1"/>
    <col min="4363" max="4363" width="10.5703125" style="807" customWidth="1"/>
    <col min="4364" max="4364" width="8.7109375" style="807" customWidth="1"/>
    <col min="4365" max="4365" width="7.42578125" style="807" customWidth="1"/>
    <col min="4366" max="4366" width="8.5703125" style="807" customWidth="1"/>
    <col min="4367" max="4367" width="8.7109375" style="807" customWidth="1"/>
    <col min="4368" max="4368" width="8.5703125" style="807" customWidth="1"/>
    <col min="4369" max="4369" width="7.85546875" style="807" customWidth="1"/>
    <col min="4370" max="4370" width="8.5703125" style="807" customWidth="1"/>
    <col min="4371" max="4372" width="10.5703125" style="807" customWidth="1"/>
    <col min="4373" max="4373" width="11.140625" style="807" customWidth="1"/>
    <col min="4374" max="4374" width="10.7109375" style="807" bestFit="1" customWidth="1"/>
    <col min="4375" max="4609" width="9.140625" style="807"/>
    <col min="4610" max="4610" width="11.28515625" style="807" customWidth="1"/>
    <col min="4611" max="4611" width="9.7109375" style="807" customWidth="1"/>
    <col min="4612" max="4612" width="8.140625" style="807" customWidth="1"/>
    <col min="4613" max="4613" width="7.42578125" style="807" customWidth="1"/>
    <col min="4614" max="4614" width="9.140625" style="807" customWidth="1"/>
    <col min="4615" max="4615" width="9.5703125" style="807" customWidth="1"/>
    <col min="4616" max="4616" width="8.140625" style="807" customWidth="1"/>
    <col min="4617" max="4617" width="6.85546875" style="807" customWidth="1"/>
    <col min="4618" max="4618" width="9.28515625" style="807" customWidth="1"/>
    <col min="4619" max="4619" width="10.5703125" style="807" customWidth="1"/>
    <col min="4620" max="4620" width="8.7109375" style="807" customWidth="1"/>
    <col min="4621" max="4621" width="7.42578125" style="807" customWidth="1"/>
    <col min="4622" max="4622" width="8.5703125" style="807" customWidth="1"/>
    <col min="4623" max="4623" width="8.7109375" style="807" customWidth="1"/>
    <col min="4624" max="4624" width="8.5703125" style="807" customWidth="1"/>
    <col min="4625" max="4625" width="7.85546875" style="807" customWidth="1"/>
    <col min="4626" max="4626" width="8.5703125" style="807" customWidth="1"/>
    <col min="4627" max="4628" width="10.5703125" style="807" customWidth="1"/>
    <col min="4629" max="4629" width="11.140625" style="807" customWidth="1"/>
    <col min="4630" max="4630" width="10.7109375" style="807" bestFit="1" customWidth="1"/>
    <col min="4631" max="4865" width="9.140625" style="807"/>
    <col min="4866" max="4866" width="11.28515625" style="807" customWidth="1"/>
    <col min="4867" max="4867" width="9.7109375" style="807" customWidth="1"/>
    <col min="4868" max="4868" width="8.140625" style="807" customWidth="1"/>
    <col min="4869" max="4869" width="7.42578125" style="807" customWidth="1"/>
    <col min="4870" max="4870" width="9.140625" style="807" customWidth="1"/>
    <col min="4871" max="4871" width="9.5703125" style="807" customWidth="1"/>
    <col min="4872" max="4872" width="8.140625" style="807" customWidth="1"/>
    <col min="4873" max="4873" width="6.85546875" style="807" customWidth="1"/>
    <col min="4874" max="4874" width="9.28515625" style="807" customWidth="1"/>
    <col min="4875" max="4875" width="10.5703125" style="807" customWidth="1"/>
    <col min="4876" max="4876" width="8.7109375" style="807" customWidth="1"/>
    <col min="4877" max="4877" width="7.42578125" style="807" customWidth="1"/>
    <col min="4878" max="4878" width="8.5703125" style="807" customWidth="1"/>
    <col min="4879" max="4879" width="8.7109375" style="807" customWidth="1"/>
    <col min="4880" max="4880" width="8.5703125" style="807" customWidth="1"/>
    <col min="4881" max="4881" width="7.85546875" style="807" customWidth="1"/>
    <col min="4882" max="4882" width="8.5703125" style="807" customWidth="1"/>
    <col min="4883" max="4884" width="10.5703125" style="807" customWidth="1"/>
    <col min="4885" max="4885" width="11.140625" style="807" customWidth="1"/>
    <col min="4886" max="4886" width="10.7109375" style="807" bestFit="1" customWidth="1"/>
    <col min="4887" max="5121" width="9.140625" style="807"/>
    <col min="5122" max="5122" width="11.28515625" style="807" customWidth="1"/>
    <col min="5123" max="5123" width="9.7109375" style="807" customWidth="1"/>
    <col min="5124" max="5124" width="8.140625" style="807" customWidth="1"/>
    <col min="5125" max="5125" width="7.42578125" style="807" customWidth="1"/>
    <col min="5126" max="5126" width="9.140625" style="807" customWidth="1"/>
    <col min="5127" max="5127" width="9.5703125" style="807" customWidth="1"/>
    <col min="5128" max="5128" width="8.140625" style="807" customWidth="1"/>
    <col min="5129" max="5129" width="6.85546875" style="807" customWidth="1"/>
    <col min="5130" max="5130" width="9.28515625" style="807" customWidth="1"/>
    <col min="5131" max="5131" width="10.5703125" style="807" customWidth="1"/>
    <col min="5132" max="5132" width="8.7109375" style="807" customWidth="1"/>
    <col min="5133" max="5133" width="7.42578125" style="807" customWidth="1"/>
    <col min="5134" max="5134" width="8.5703125" style="807" customWidth="1"/>
    <col min="5135" max="5135" width="8.7109375" style="807" customWidth="1"/>
    <col min="5136" max="5136" width="8.5703125" style="807" customWidth="1"/>
    <col min="5137" max="5137" width="7.85546875" style="807" customWidth="1"/>
    <col min="5138" max="5138" width="8.5703125" style="807" customWidth="1"/>
    <col min="5139" max="5140" width="10.5703125" style="807" customWidth="1"/>
    <col min="5141" max="5141" width="11.140625" style="807" customWidth="1"/>
    <col min="5142" max="5142" width="10.7109375" style="807" bestFit="1" customWidth="1"/>
    <col min="5143" max="5377" width="9.140625" style="807"/>
    <col min="5378" max="5378" width="11.28515625" style="807" customWidth="1"/>
    <col min="5379" max="5379" width="9.7109375" style="807" customWidth="1"/>
    <col min="5380" max="5380" width="8.140625" style="807" customWidth="1"/>
    <col min="5381" max="5381" width="7.42578125" style="807" customWidth="1"/>
    <col min="5382" max="5382" width="9.140625" style="807" customWidth="1"/>
    <col min="5383" max="5383" width="9.5703125" style="807" customWidth="1"/>
    <col min="5384" max="5384" width="8.140625" style="807" customWidth="1"/>
    <col min="5385" max="5385" width="6.85546875" style="807" customWidth="1"/>
    <col min="5386" max="5386" width="9.28515625" style="807" customWidth="1"/>
    <col min="5387" max="5387" width="10.5703125" style="807" customWidth="1"/>
    <col min="5388" max="5388" width="8.7109375" style="807" customWidth="1"/>
    <col min="5389" max="5389" width="7.42578125" style="807" customWidth="1"/>
    <col min="5390" max="5390" width="8.5703125" style="807" customWidth="1"/>
    <col min="5391" max="5391" width="8.7109375" style="807" customWidth="1"/>
    <col min="5392" max="5392" width="8.5703125" style="807" customWidth="1"/>
    <col min="5393" max="5393" width="7.85546875" style="807" customWidth="1"/>
    <col min="5394" max="5394" width="8.5703125" style="807" customWidth="1"/>
    <col min="5395" max="5396" width="10.5703125" style="807" customWidth="1"/>
    <col min="5397" max="5397" width="11.140625" style="807" customWidth="1"/>
    <col min="5398" max="5398" width="10.7109375" style="807" bestFit="1" customWidth="1"/>
    <col min="5399" max="5633" width="9.140625" style="807"/>
    <col min="5634" max="5634" width="11.28515625" style="807" customWidth="1"/>
    <col min="5635" max="5635" width="9.7109375" style="807" customWidth="1"/>
    <col min="5636" max="5636" width="8.140625" style="807" customWidth="1"/>
    <col min="5637" max="5637" width="7.42578125" style="807" customWidth="1"/>
    <col min="5638" max="5638" width="9.140625" style="807" customWidth="1"/>
    <col min="5639" max="5639" width="9.5703125" style="807" customWidth="1"/>
    <col min="5640" max="5640" width="8.140625" style="807" customWidth="1"/>
    <col min="5641" max="5641" width="6.85546875" style="807" customWidth="1"/>
    <col min="5642" max="5642" width="9.28515625" style="807" customWidth="1"/>
    <col min="5643" max="5643" width="10.5703125" style="807" customWidth="1"/>
    <col min="5644" max="5644" width="8.7109375" style="807" customWidth="1"/>
    <col min="5645" max="5645" width="7.42578125" style="807" customWidth="1"/>
    <col min="5646" max="5646" width="8.5703125" style="807" customWidth="1"/>
    <col min="5647" max="5647" width="8.7109375" style="807" customWidth="1"/>
    <col min="5648" max="5648" width="8.5703125" style="807" customWidth="1"/>
    <col min="5649" max="5649" width="7.85546875" style="807" customWidth="1"/>
    <col min="5650" max="5650" width="8.5703125" style="807" customWidth="1"/>
    <col min="5651" max="5652" width="10.5703125" style="807" customWidth="1"/>
    <col min="5653" max="5653" width="11.140625" style="807" customWidth="1"/>
    <col min="5654" max="5654" width="10.7109375" style="807" bestFit="1" customWidth="1"/>
    <col min="5655" max="5889" width="9.140625" style="807"/>
    <col min="5890" max="5890" width="11.28515625" style="807" customWidth="1"/>
    <col min="5891" max="5891" width="9.7109375" style="807" customWidth="1"/>
    <col min="5892" max="5892" width="8.140625" style="807" customWidth="1"/>
    <col min="5893" max="5893" width="7.42578125" style="807" customWidth="1"/>
    <col min="5894" max="5894" width="9.140625" style="807" customWidth="1"/>
    <col min="5895" max="5895" width="9.5703125" style="807" customWidth="1"/>
    <col min="5896" max="5896" width="8.140625" style="807" customWidth="1"/>
    <col min="5897" max="5897" width="6.85546875" style="807" customWidth="1"/>
    <col min="5898" max="5898" width="9.28515625" style="807" customWidth="1"/>
    <col min="5899" max="5899" width="10.5703125" style="807" customWidth="1"/>
    <col min="5900" max="5900" width="8.7109375" style="807" customWidth="1"/>
    <col min="5901" max="5901" width="7.42578125" style="807" customWidth="1"/>
    <col min="5902" max="5902" width="8.5703125" style="807" customWidth="1"/>
    <col min="5903" max="5903" width="8.7109375" style="807" customWidth="1"/>
    <col min="5904" max="5904" width="8.5703125" style="807" customWidth="1"/>
    <col min="5905" max="5905" width="7.85546875" style="807" customWidth="1"/>
    <col min="5906" max="5906" width="8.5703125" style="807" customWidth="1"/>
    <col min="5907" max="5908" width="10.5703125" style="807" customWidth="1"/>
    <col min="5909" max="5909" width="11.140625" style="807" customWidth="1"/>
    <col min="5910" max="5910" width="10.7109375" style="807" bestFit="1" customWidth="1"/>
    <col min="5911" max="6145" width="9.140625" style="807"/>
    <col min="6146" max="6146" width="11.28515625" style="807" customWidth="1"/>
    <col min="6147" max="6147" width="9.7109375" style="807" customWidth="1"/>
    <col min="6148" max="6148" width="8.140625" style="807" customWidth="1"/>
    <col min="6149" max="6149" width="7.42578125" style="807" customWidth="1"/>
    <col min="6150" max="6150" width="9.140625" style="807" customWidth="1"/>
    <col min="6151" max="6151" width="9.5703125" style="807" customWidth="1"/>
    <col min="6152" max="6152" width="8.140625" style="807" customWidth="1"/>
    <col min="6153" max="6153" width="6.85546875" style="807" customWidth="1"/>
    <col min="6154" max="6154" width="9.28515625" style="807" customWidth="1"/>
    <col min="6155" max="6155" width="10.5703125" style="807" customWidth="1"/>
    <col min="6156" max="6156" width="8.7109375" style="807" customWidth="1"/>
    <col min="6157" max="6157" width="7.42578125" style="807" customWidth="1"/>
    <col min="6158" max="6158" width="8.5703125" style="807" customWidth="1"/>
    <col min="6159" max="6159" width="8.7109375" style="807" customWidth="1"/>
    <col min="6160" max="6160" width="8.5703125" style="807" customWidth="1"/>
    <col min="6161" max="6161" width="7.85546875" style="807" customWidth="1"/>
    <col min="6162" max="6162" width="8.5703125" style="807" customWidth="1"/>
    <col min="6163" max="6164" width="10.5703125" style="807" customWidth="1"/>
    <col min="6165" max="6165" width="11.140625" style="807" customWidth="1"/>
    <col min="6166" max="6166" width="10.7109375" style="807" bestFit="1" customWidth="1"/>
    <col min="6167" max="6401" width="9.140625" style="807"/>
    <col min="6402" max="6402" width="11.28515625" style="807" customWidth="1"/>
    <col min="6403" max="6403" width="9.7109375" style="807" customWidth="1"/>
    <col min="6404" max="6404" width="8.140625" style="807" customWidth="1"/>
    <col min="6405" max="6405" width="7.42578125" style="807" customWidth="1"/>
    <col min="6406" max="6406" width="9.140625" style="807" customWidth="1"/>
    <col min="6407" max="6407" width="9.5703125" style="807" customWidth="1"/>
    <col min="6408" max="6408" width="8.140625" style="807" customWidth="1"/>
    <col min="6409" max="6409" width="6.85546875" style="807" customWidth="1"/>
    <col min="6410" max="6410" width="9.28515625" style="807" customWidth="1"/>
    <col min="6411" max="6411" width="10.5703125" style="807" customWidth="1"/>
    <col min="6412" max="6412" width="8.7109375" style="807" customWidth="1"/>
    <col min="6413" max="6413" width="7.42578125" style="807" customWidth="1"/>
    <col min="6414" max="6414" width="8.5703125" style="807" customWidth="1"/>
    <col min="6415" max="6415" width="8.7109375" style="807" customWidth="1"/>
    <col min="6416" max="6416" width="8.5703125" style="807" customWidth="1"/>
    <col min="6417" max="6417" width="7.85546875" style="807" customWidth="1"/>
    <col min="6418" max="6418" width="8.5703125" style="807" customWidth="1"/>
    <col min="6419" max="6420" width="10.5703125" style="807" customWidth="1"/>
    <col min="6421" max="6421" width="11.140625" style="807" customWidth="1"/>
    <col min="6422" max="6422" width="10.7109375" style="807" bestFit="1" customWidth="1"/>
    <col min="6423" max="6657" width="9.140625" style="807"/>
    <col min="6658" max="6658" width="11.28515625" style="807" customWidth="1"/>
    <col min="6659" max="6659" width="9.7109375" style="807" customWidth="1"/>
    <col min="6660" max="6660" width="8.140625" style="807" customWidth="1"/>
    <col min="6661" max="6661" width="7.42578125" style="807" customWidth="1"/>
    <col min="6662" max="6662" width="9.140625" style="807" customWidth="1"/>
    <col min="6663" max="6663" width="9.5703125" style="807" customWidth="1"/>
    <col min="6664" max="6664" width="8.140625" style="807" customWidth="1"/>
    <col min="6665" max="6665" width="6.85546875" style="807" customWidth="1"/>
    <col min="6666" max="6666" width="9.28515625" style="807" customWidth="1"/>
    <col min="6667" max="6667" width="10.5703125" style="807" customWidth="1"/>
    <col min="6668" max="6668" width="8.7109375" style="807" customWidth="1"/>
    <col min="6669" max="6669" width="7.42578125" style="807" customWidth="1"/>
    <col min="6670" max="6670" width="8.5703125" style="807" customWidth="1"/>
    <col min="6671" max="6671" width="8.7109375" style="807" customWidth="1"/>
    <col min="6672" max="6672" width="8.5703125" style="807" customWidth="1"/>
    <col min="6673" max="6673" width="7.85546875" style="807" customWidth="1"/>
    <col min="6674" max="6674" width="8.5703125" style="807" customWidth="1"/>
    <col min="6675" max="6676" width="10.5703125" style="807" customWidth="1"/>
    <col min="6677" max="6677" width="11.140625" style="807" customWidth="1"/>
    <col min="6678" max="6678" width="10.7109375" style="807" bestFit="1" customWidth="1"/>
    <col min="6679" max="6913" width="9.140625" style="807"/>
    <col min="6914" max="6914" width="11.28515625" style="807" customWidth="1"/>
    <col min="6915" max="6915" width="9.7109375" style="807" customWidth="1"/>
    <col min="6916" max="6916" width="8.140625" style="807" customWidth="1"/>
    <col min="6917" max="6917" width="7.42578125" style="807" customWidth="1"/>
    <col min="6918" max="6918" width="9.140625" style="807" customWidth="1"/>
    <col min="6919" max="6919" width="9.5703125" style="807" customWidth="1"/>
    <col min="6920" max="6920" width="8.140625" style="807" customWidth="1"/>
    <col min="6921" max="6921" width="6.85546875" style="807" customWidth="1"/>
    <col min="6922" max="6922" width="9.28515625" style="807" customWidth="1"/>
    <col min="6923" max="6923" width="10.5703125" style="807" customWidth="1"/>
    <col min="6924" max="6924" width="8.7109375" style="807" customWidth="1"/>
    <col min="6925" max="6925" width="7.42578125" style="807" customWidth="1"/>
    <col min="6926" max="6926" width="8.5703125" style="807" customWidth="1"/>
    <col min="6927" max="6927" width="8.7109375" style="807" customWidth="1"/>
    <col min="6928" max="6928" width="8.5703125" style="807" customWidth="1"/>
    <col min="6929" max="6929" width="7.85546875" style="807" customWidth="1"/>
    <col min="6930" max="6930" width="8.5703125" style="807" customWidth="1"/>
    <col min="6931" max="6932" width="10.5703125" style="807" customWidth="1"/>
    <col min="6933" max="6933" width="11.140625" style="807" customWidth="1"/>
    <col min="6934" max="6934" width="10.7109375" style="807" bestFit="1" customWidth="1"/>
    <col min="6935" max="7169" width="9.140625" style="807"/>
    <col min="7170" max="7170" width="11.28515625" style="807" customWidth="1"/>
    <col min="7171" max="7171" width="9.7109375" style="807" customWidth="1"/>
    <col min="7172" max="7172" width="8.140625" style="807" customWidth="1"/>
    <col min="7173" max="7173" width="7.42578125" style="807" customWidth="1"/>
    <col min="7174" max="7174" width="9.140625" style="807" customWidth="1"/>
    <col min="7175" max="7175" width="9.5703125" style="807" customWidth="1"/>
    <col min="7176" max="7176" width="8.140625" style="807" customWidth="1"/>
    <col min="7177" max="7177" width="6.85546875" style="807" customWidth="1"/>
    <col min="7178" max="7178" width="9.28515625" style="807" customWidth="1"/>
    <col min="7179" max="7179" width="10.5703125" style="807" customWidth="1"/>
    <col min="7180" max="7180" width="8.7109375" style="807" customWidth="1"/>
    <col min="7181" max="7181" width="7.42578125" style="807" customWidth="1"/>
    <col min="7182" max="7182" width="8.5703125" style="807" customWidth="1"/>
    <col min="7183" max="7183" width="8.7109375" style="807" customWidth="1"/>
    <col min="7184" max="7184" width="8.5703125" style="807" customWidth="1"/>
    <col min="7185" max="7185" width="7.85546875" style="807" customWidth="1"/>
    <col min="7186" max="7186" width="8.5703125" style="807" customWidth="1"/>
    <col min="7187" max="7188" width="10.5703125" style="807" customWidth="1"/>
    <col min="7189" max="7189" width="11.140625" style="807" customWidth="1"/>
    <col min="7190" max="7190" width="10.7109375" style="807" bestFit="1" customWidth="1"/>
    <col min="7191" max="7425" width="9.140625" style="807"/>
    <col min="7426" max="7426" width="11.28515625" style="807" customWidth="1"/>
    <col min="7427" max="7427" width="9.7109375" style="807" customWidth="1"/>
    <col min="7428" max="7428" width="8.140625" style="807" customWidth="1"/>
    <col min="7429" max="7429" width="7.42578125" style="807" customWidth="1"/>
    <col min="7430" max="7430" width="9.140625" style="807" customWidth="1"/>
    <col min="7431" max="7431" width="9.5703125" style="807" customWidth="1"/>
    <col min="7432" max="7432" width="8.140625" style="807" customWidth="1"/>
    <col min="7433" max="7433" width="6.85546875" style="807" customWidth="1"/>
    <col min="7434" max="7434" width="9.28515625" style="807" customWidth="1"/>
    <col min="7435" max="7435" width="10.5703125" style="807" customWidth="1"/>
    <col min="7436" max="7436" width="8.7109375" style="807" customWidth="1"/>
    <col min="7437" max="7437" width="7.42578125" style="807" customWidth="1"/>
    <col min="7438" max="7438" width="8.5703125" style="807" customWidth="1"/>
    <col min="7439" max="7439" width="8.7109375" style="807" customWidth="1"/>
    <col min="7440" max="7440" width="8.5703125" style="807" customWidth="1"/>
    <col min="7441" max="7441" width="7.85546875" style="807" customWidth="1"/>
    <col min="7442" max="7442" width="8.5703125" style="807" customWidth="1"/>
    <col min="7443" max="7444" width="10.5703125" style="807" customWidth="1"/>
    <col min="7445" max="7445" width="11.140625" style="807" customWidth="1"/>
    <col min="7446" max="7446" width="10.7109375" style="807" bestFit="1" customWidth="1"/>
    <col min="7447" max="7681" width="9.140625" style="807"/>
    <col min="7682" max="7682" width="11.28515625" style="807" customWidth="1"/>
    <col min="7683" max="7683" width="9.7109375" style="807" customWidth="1"/>
    <col min="7684" max="7684" width="8.140625" style="807" customWidth="1"/>
    <col min="7685" max="7685" width="7.42578125" style="807" customWidth="1"/>
    <col min="7686" max="7686" width="9.140625" style="807" customWidth="1"/>
    <col min="7687" max="7687" width="9.5703125" style="807" customWidth="1"/>
    <col min="7688" max="7688" width="8.140625" style="807" customWidth="1"/>
    <col min="7689" max="7689" width="6.85546875" style="807" customWidth="1"/>
    <col min="7690" max="7690" width="9.28515625" style="807" customWidth="1"/>
    <col min="7691" max="7691" width="10.5703125" style="807" customWidth="1"/>
    <col min="7692" max="7692" width="8.7109375" style="807" customWidth="1"/>
    <col min="7693" max="7693" width="7.42578125" style="807" customWidth="1"/>
    <col min="7694" max="7694" width="8.5703125" style="807" customWidth="1"/>
    <col min="7695" max="7695" width="8.7109375" style="807" customWidth="1"/>
    <col min="7696" max="7696" width="8.5703125" style="807" customWidth="1"/>
    <col min="7697" max="7697" width="7.85546875" style="807" customWidth="1"/>
    <col min="7698" max="7698" width="8.5703125" style="807" customWidth="1"/>
    <col min="7699" max="7700" width="10.5703125" style="807" customWidth="1"/>
    <col min="7701" max="7701" width="11.140625" style="807" customWidth="1"/>
    <col min="7702" max="7702" width="10.7109375" style="807" bestFit="1" customWidth="1"/>
    <col min="7703" max="7937" width="9.140625" style="807"/>
    <col min="7938" max="7938" width="11.28515625" style="807" customWidth="1"/>
    <col min="7939" max="7939" width="9.7109375" style="807" customWidth="1"/>
    <col min="7940" max="7940" width="8.140625" style="807" customWidth="1"/>
    <col min="7941" max="7941" width="7.42578125" style="807" customWidth="1"/>
    <col min="7942" max="7942" width="9.140625" style="807" customWidth="1"/>
    <col min="7943" max="7943" width="9.5703125" style="807" customWidth="1"/>
    <col min="7944" max="7944" width="8.140625" style="807" customWidth="1"/>
    <col min="7945" max="7945" width="6.85546875" style="807" customWidth="1"/>
    <col min="7946" max="7946" width="9.28515625" style="807" customWidth="1"/>
    <col min="7947" max="7947" width="10.5703125" style="807" customWidth="1"/>
    <col min="7948" max="7948" width="8.7109375" style="807" customWidth="1"/>
    <col min="7949" max="7949" width="7.42578125" style="807" customWidth="1"/>
    <col min="7950" max="7950" width="8.5703125" style="807" customWidth="1"/>
    <col min="7951" max="7951" width="8.7109375" style="807" customWidth="1"/>
    <col min="7952" max="7952" width="8.5703125" style="807" customWidth="1"/>
    <col min="7953" max="7953" width="7.85546875" style="807" customWidth="1"/>
    <col min="7954" max="7954" width="8.5703125" style="807" customWidth="1"/>
    <col min="7955" max="7956" width="10.5703125" style="807" customWidth="1"/>
    <col min="7957" max="7957" width="11.140625" style="807" customWidth="1"/>
    <col min="7958" max="7958" width="10.7109375" style="807" bestFit="1" customWidth="1"/>
    <col min="7959" max="8193" width="9.140625" style="807"/>
    <col min="8194" max="8194" width="11.28515625" style="807" customWidth="1"/>
    <col min="8195" max="8195" width="9.7109375" style="807" customWidth="1"/>
    <col min="8196" max="8196" width="8.140625" style="807" customWidth="1"/>
    <col min="8197" max="8197" width="7.42578125" style="807" customWidth="1"/>
    <col min="8198" max="8198" width="9.140625" style="807" customWidth="1"/>
    <col min="8199" max="8199" width="9.5703125" style="807" customWidth="1"/>
    <col min="8200" max="8200" width="8.140625" style="807" customWidth="1"/>
    <col min="8201" max="8201" width="6.85546875" style="807" customWidth="1"/>
    <col min="8202" max="8202" width="9.28515625" style="807" customWidth="1"/>
    <col min="8203" max="8203" width="10.5703125" style="807" customWidth="1"/>
    <col min="8204" max="8204" width="8.7109375" style="807" customWidth="1"/>
    <col min="8205" max="8205" width="7.42578125" style="807" customWidth="1"/>
    <col min="8206" max="8206" width="8.5703125" style="807" customWidth="1"/>
    <col min="8207" max="8207" width="8.7109375" style="807" customWidth="1"/>
    <col min="8208" max="8208" width="8.5703125" style="807" customWidth="1"/>
    <col min="8209" max="8209" width="7.85546875" style="807" customWidth="1"/>
    <col min="8210" max="8210" width="8.5703125" style="807" customWidth="1"/>
    <col min="8211" max="8212" width="10.5703125" style="807" customWidth="1"/>
    <col min="8213" max="8213" width="11.140625" style="807" customWidth="1"/>
    <col min="8214" max="8214" width="10.7109375" style="807" bestFit="1" customWidth="1"/>
    <col min="8215" max="8449" width="9.140625" style="807"/>
    <col min="8450" max="8450" width="11.28515625" style="807" customWidth="1"/>
    <col min="8451" max="8451" width="9.7109375" style="807" customWidth="1"/>
    <col min="8452" max="8452" width="8.140625" style="807" customWidth="1"/>
    <col min="8453" max="8453" width="7.42578125" style="807" customWidth="1"/>
    <col min="8454" max="8454" width="9.140625" style="807" customWidth="1"/>
    <col min="8455" max="8455" width="9.5703125" style="807" customWidth="1"/>
    <col min="8456" max="8456" width="8.140625" style="807" customWidth="1"/>
    <col min="8457" max="8457" width="6.85546875" style="807" customWidth="1"/>
    <col min="8458" max="8458" width="9.28515625" style="807" customWidth="1"/>
    <col min="8459" max="8459" width="10.5703125" style="807" customWidth="1"/>
    <col min="8460" max="8460" width="8.7109375" style="807" customWidth="1"/>
    <col min="8461" max="8461" width="7.42578125" style="807" customWidth="1"/>
    <col min="8462" max="8462" width="8.5703125" style="807" customWidth="1"/>
    <col min="8463" max="8463" width="8.7109375" style="807" customWidth="1"/>
    <col min="8464" max="8464" width="8.5703125" style="807" customWidth="1"/>
    <col min="8465" max="8465" width="7.85546875" style="807" customWidth="1"/>
    <col min="8466" max="8466" width="8.5703125" style="807" customWidth="1"/>
    <col min="8467" max="8468" width="10.5703125" style="807" customWidth="1"/>
    <col min="8469" max="8469" width="11.140625" style="807" customWidth="1"/>
    <col min="8470" max="8470" width="10.7109375" style="807" bestFit="1" customWidth="1"/>
    <col min="8471" max="8705" width="9.140625" style="807"/>
    <col min="8706" max="8706" width="11.28515625" style="807" customWidth="1"/>
    <col min="8707" max="8707" width="9.7109375" style="807" customWidth="1"/>
    <col min="8708" max="8708" width="8.140625" style="807" customWidth="1"/>
    <col min="8709" max="8709" width="7.42578125" style="807" customWidth="1"/>
    <col min="8710" max="8710" width="9.140625" style="807" customWidth="1"/>
    <col min="8711" max="8711" width="9.5703125" style="807" customWidth="1"/>
    <col min="8712" max="8712" width="8.140625" style="807" customWidth="1"/>
    <col min="8713" max="8713" width="6.85546875" style="807" customWidth="1"/>
    <col min="8714" max="8714" width="9.28515625" style="807" customWidth="1"/>
    <col min="8715" max="8715" width="10.5703125" style="807" customWidth="1"/>
    <col min="8716" max="8716" width="8.7109375" style="807" customWidth="1"/>
    <col min="8717" max="8717" width="7.42578125" style="807" customWidth="1"/>
    <col min="8718" max="8718" width="8.5703125" style="807" customWidth="1"/>
    <col min="8719" max="8719" width="8.7109375" style="807" customWidth="1"/>
    <col min="8720" max="8720" width="8.5703125" style="807" customWidth="1"/>
    <col min="8721" max="8721" width="7.85546875" style="807" customWidth="1"/>
    <col min="8722" max="8722" width="8.5703125" style="807" customWidth="1"/>
    <col min="8723" max="8724" width="10.5703125" style="807" customWidth="1"/>
    <col min="8725" max="8725" width="11.140625" style="807" customWidth="1"/>
    <col min="8726" max="8726" width="10.7109375" style="807" bestFit="1" customWidth="1"/>
    <col min="8727" max="8961" width="9.140625" style="807"/>
    <col min="8962" max="8962" width="11.28515625" style="807" customWidth="1"/>
    <col min="8963" max="8963" width="9.7109375" style="807" customWidth="1"/>
    <col min="8964" max="8964" width="8.140625" style="807" customWidth="1"/>
    <col min="8965" max="8965" width="7.42578125" style="807" customWidth="1"/>
    <col min="8966" max="8966" width="9.140625" style="807" customWidth="1"/>
    <col min="8967" max="8967" width="9.5703125" style="807" customWidth="1"/>
    <col min="8968" max="8968" width="8.140625" style="807" customWidth="1"/>
    <col min="8969" max="8969" width="6.85546875" style="807" customWidth="1"/>
    <col min="8970" max="8970" width="9.28515625" style="807" customWidth="1"/>
    <col min="8971" max="8971" width="10.5703125" style="807" customWidth="1"/>
    <col min="8972" max="8972" width="8.7109375" style="807" customWidth="1"/>
    <col min="8973" max="8973" width="7.42578125" style="807" customWidth="1"/>
    <col min="8974" max="8974" width="8.5703125" style="807" customWidth="1"/>
    <col min="8975" max="8975" width="8.7109375" style="807" customWidth="1"/>
    <col min="8976" max="8976" width="8.5703125" style="807" customWidth="1"/>
    <col min="8977" max="8977" width="7.85546875" style="807" customWidth="1"/>
    <col min="8978" max="8978" width="8.5703125" style="807" customWidth="1"/>
    <col min="8979" max="8980" width="10.5703125" style="807" customWidth="1"/>
    <col min="8981" max="8981" width="11.140625" style="807" customWidth="1"/>
    <col min="8982" max="8982" width="10.7109375" style="807" bestFit="1" customWidth="1"/>
    <col min="8983" max="9217" width="9.140625" style="807"/>
    <col min="9218" max="9218" width="11.28515625" style="807" customWidth="1"/>
    <col min="9219" max="9219" width="9.7109375" style="807" customWidth="1"/>
    <col min="9220" max="9220" width="8.140625" style="807" customWidth="1"/>
    <col min="9221" max="9221" width="7.42578125" style="807" customWidth="1"/>
    <col min="9222" max="9222" width="9.140625" style="807" customWidth="1"/>
    <col min="9223" max="9223" width="9.5703125" style="807" customWidth="1"/>
    <col min="9224" max="9224" width="8.140625" style="807" customWidth="1"/>
    <col min="9225" max="9225" width="6.85546875" style="807" customWidth="1"/>
    <col min="9226" max="9226" width="9.28515625" style="807" customWidth="1"/>
    <col min="9227" max="9227" width="10.5703125" style="807" customWidth="1"/>
    <col min="9228" max="9228" width="8.7109375" style="807" customWidth="1"/>
    <col min="9229" max="9229" width="7.42578125" style="807" customWidth="1"/>
    <col min="9230" max="9230" width="8.5703125" style="807" customWidth="1"/>
    <col min="9231" max="9231" width="8.7109375" style="807" customWidth="1"/>
    <col min="9232" max="9232" width="8.5703125" style="807" customWidth="1"/>
    <col min="9233" max="9233" width="7.85546875" style="807" customWidth="1"/>
    <col min="9234" max="9234" width="8.5703125" style="807" customWidth="1"/>
    <col min="9235" max="9236" width="10.5703125" style="807" customWidth="1"/>
    <col min="9237" max="9237" width="11.140625" style="807" customWidth="1"/>
    <col min="9238" max="9238" width="10.7109375" style="807" bestFit="1" customWidth="1"/>
    <col min="9239" max="9473" width="9.140625" style="807"/>
    <col min="9474" max="9474" width="11.28515625" style="807" customWidth="1"/>
    <col min="9475" max="9475" width="9.7109375" style="807" customWidth="1"/>
    <col min="9476" max="9476" width="8.140625" style="807" customWidth="1"/>
    <col min="9477" max="9477" width="7.42578125" style="807" customWidth="1"/>
    <col min="9478" max="9478" width="9.140625" style="807" customWidth="1"/>
    <col min="9479" max="9479" width="9.5703125" style="807" customWidth="1"/>
    <col min="9480" max="9480" width="8.140625" style="807" customWidth="1"/>
    <col min="9481" max="9481" width="6.85546875" style="807" customWidth="1"/>
    <col min="9482" max="9482" width="9.28515625" style="807" customWidth="1"/>
    <col min="9483" max="9483" width="10.5703125" style="807" customWidth="1"/>
    <col min="9484" max="9484" width="8.7109375" style="807" customWidth="1"/>
    <col min="9485" max="9485" width="7.42578125" style="807" customWidth="1"/>
    <col min="9486" max="9486" width="8.5703125" style="807" customWidth="1"/>
    <col min="9487" max="9487" width="8.7109375" style="807" customWidth="1"/>
    <col min="9488" max="9488" width="8.5703125" style="807" customWidth="1"/>
    <col min="9489" max="9489" width="7.85546875" style="807" customWidth="1"/>
    <col min="9490" max="9490" width="8.5703125" style="807" customWidth="1"/>
    <col min="9491" max="9492" width="10.5703125" style="807" customWidth="1"/>
    <col min="9493" max="9493" width="11.140625" style="807" customWidth="1"/>
    <col min="9494" max="9494" width="10.7109375" style="807" bestFit="1" customWidth="1"/>
    <col min="9495" max="9729" width="9.140625" style="807"/>
    <col min="9730" max="9730" width="11.28515625" style="807" customWidth="1"/>
    <col min="9731" max="9731" width="9.7109375" style="807" customWidth="1"/>
    <col min="9732" max="9732" width="8.140625" style="807" customWidth="1"/>
    <col min="9733" max="9733" width="7.42578125" style="807" customWidth="1"/>
    <col min="9734" max="9734" width="9.140625" style="807" customWidth="1"/>
    <col min="9735" max="9735" width="9.5703125" style="807" customWidth="1"/>
    <col min="9736" max="9736" width="8.140625" style="807" customWidth="1"/>
    <col min="9737" max="9737" width="6.85546875" style="807" customWidth="1"/>
    <col min="9738" max="9738" width="9.28515625" style="807" customWidth="1"/>
    <col min="9739" max="9739" width="10.5703125" style="807" customWidth="1"/>
    <col min="9740" max="9740" width="8.7109375" style="807" customWidth="1"/>
    <col min="9741" max="9741" width="7.42578125" style="807" customWidth="1"/>
    <col min="9742" max="9742" width="8.5703125" style="807" customWidth="1"/>
    <col min="9743" max="9743" width="8.7109375" style="807" customWidth="1"/>
    <col min="9744" max="9744" width="8.5703125" style="807" customWidth="1"/>
    <col min="9745" max="9745" width="7.85546875" style="807" customWidth="1"/>
    <col min="9746" max="9746" width="8.5703125" style="807" customWidth="1"/>
    <col min="9747" max="9748" width="10.5703125" style="807" customWidth="1"/>
    <col min="9749" max="9749" width="11.140625" style="807" customWidth="1"/>
    <col min="9750" max="9750" width="10.7109375" style="807" bestFit="1" customWidth="1"/>
    <col min="9751" max="9985" width="9.140625" style="807"/>
    <col min="9986" max="9986" width="11.28515625" style="807" customWidth="1"/>
    <col min="9987" max="9987" width="9.7109375" style="807" customWidth="1"/>
    <col min="9988" max="9988" width="8.140625" style="807" customWidth="1"/>
    <col min="9989" max="9989" width="7.42578125" style="807" customWidth="1"/>
    <col min="9990" max="9990" width="9.140625" style="807" customWidth="1"/>
    <col min="9991" max="9991" width="9.5703125" style="807" customWidth="1"/>
    <col min="9992" max="9992" width="8.140625" style="807" customWidth="1"/>
    <col min="9993" max="9993" width="6.85546875" style="807" customWidth="1"/>
    <col min="9994" max="9994" width="9.28515625" style="807" customWidth="1"/>
    <col min="9995" max="9995" width="10.5703125" style="807" customWidth="1"/>
    <col min="9996" max="9996" width="8.7109375" style="807" customWidth="1"/>
    <col min="9997" max="9997" width="7.42578125" style="807" customWidth="1"/>
    <col min="9998" max="9998" width="8.5703125" style="807" customWidth="1"/>
    <col min="9999" max="9999" width="8.7109375" style="807" customWidth="1"/>
    <col min="10000" max="10000" width="8.5703125" style="807" customWidth="1"/>
    <col min="10001" max="10001" width="7.85546875" style="807" customWidth="1"/>
    <col min="10002" max="10002" width="8.5703125" style="807" customWidth="1"/>
    <col min="10003" max="10004" width="10.5703125" style="807" customWidth="1"/>
    <col min="10005" max="10005" width="11.140625" style="807" customWidth="1"/>
    <col min="10006" max="10006" width="10.7109375" style="807" bestFit="1" customWidth="1"/>
    <col min="10007" max="10241" width="9.140625" style="807"/>
    <col min="10242" max="10242" width="11.28515625" style="807" customWidth="1"/>
    <col min="10243" max="10243" width="9.7109375" style="807" customWidth="1"/>
    <col min="10244" max="10244" width="8.140625" style="807" customWidth="1"/>
    <col min="10245" max="10245" width="7.42578125" style="807" customWidth="1"/>
    <col min="10246" max="10246" width="9.140625" style="807" customWidth="1"/>
    <col min="10247" max="10247" width="9.5703125" style="807" customWidth="1"/>
    <col min="10248" max="10248" width="8.140625" style="807" customWidth="1"/>
    <col min="10249" max="10249" width="6.85546875" style="807" customWidth="1"/>
    <col min="10250" max="10250" width="9.28515625" style="807" customWidth="1"/>
    <col min="10251" max="10251" width="10.5703125" style="807" customWidth="1"/>
    <col min="10252" max="10252" width="8.7109375" style="807" customWidth="1"/>
    <col min="10253" max="10253" width="7.42578125" style="807" customWidth="1"/>
    <col min="10254" max="10254" width="8.5703125" style="807" customWidth="1"/>
    <col min="10255" max="10255" width="8.7109375" style="807" customWidth="1"/>
    <col min="10256" max="10256" width="8.5703125" style="807" customWidth="1"/>
    <col min="10257" max="10257" width="7.85546875" style="807" customWidth="1"/>
    <col min="10258" max="10258" width="8.5703125" style="807" customWidth="1"/>
    <col min="10259" max="10260" width="10.5703125" style="807" customWidth="1"/>
    <col min="10261" max="10261" width="11.140625" style="807" customWidth="1"/>
    <col min="10262" max="10262" width="10.7109375" style="807" bestFit="1" customWidth="1"/>
    <col min="10263" max="10497" width="9.140625" style="807"/>
    <col min="10498" max="10498" width="11.28515625" style="807" customWidth="1"/>
    <col min="10499" max="10499" width="9.7109375" style="807" customWidth="1"/>
    <col min="10500" max="10500" width="8.140625" style="807" customWidth="1"/>
    <col min="10501" max="10501" width="7.42578125" style="807" customWidth="1"/>
    <col min="10502" max="10502" width="9.140625" style="807" customWidth="1"/>
    <col min="10503" max="10503" width="9.5703125" style="807" customWidth="1"/>
    <col min="10504" max="10504" width="8.140625" style="807" customWidth="1"/>
    <col min="10505" max="10505" width="6.85546875" style="807" customWidth="1"/>
    <col min="10506" max="10506" width="9.28515625" style="807" customWidth="1"/>
    <col min="10507" max="10507" width="10.5703125" style="807" customWidth="1"/>
    <col min="10508" max="10508" width="8.7109375" style="807" customWidth="1"/>
    <col min="10509" max="10509" width="7.42578125" style="807" customWidth="1"/>
    <col min="10510" max="10510" width="8.5703125" style="807" customWidth="1"/>
    <col min="10511" max="10511" width="8.7109375" style="807" customWidth="1"/>
    <col min="10512" max="10512" width="8.5703125" style="807" customWidth="1"/>
    <col min="10513" max="10513" width="7.85546875" style="807" customWidth="1"/>
    <col min="10514" max="10514" width="8.5703125" style="807" customWidth="1"/>
    <col min="10515" max="10516" width="10.5703125" style="807" customWidth="1"/>
    <col min="10517" max="10517" width="11.140625" style="807" customWidth="1"/>
    <col min="10518" max="10518" width="10.7109375" style="807" bestFit="1" customWidth="1"/>
    <col min="10519" max="10753" width="9.140625" style="807"/>
    <col min="10754" max="10754" width="11.28515625" style="807" customWidth="1"/>
    <col min="10755" max="10755" width="9.7109375" style="807" customWidth="1"/>
    <col min="10756" max="10756" width="8.140625" style="807" customWidth="1"/>
    <col min="10757" max="10757" width="7.42578125" style="807" customWidth="1"/>
    <col min="10758" max="10758" width="9.140625" style="807" customWidth="1"/>
    <col min="10759" max="10759" width="9.5703125" style="807" customWidth="1"/>
    <col min="10760" max="10760" width="8.140625" style="807" customWidth="1"/>
    <col min="10761" max="10761" width="6.85546875" style="807" customWidth="1"/>
    <col min="10762" max="10762" width="9.28515625" style="807" customWidth="1"/>
    <col min="10763" max="10763" width="10.5703125" style="807" customWidth="1"/>
    <col min="10764" max="10764" width="8.7109375" style="807" customWidth="1"/>
    <col min="10765" max="10765" width="7.42578125" style="807" customWidth="1"/>
    <col min="10766" max="10766" width="8.5703125" style="807" customWidth="1"/>
    <col min="10767" max="10767" width="8.7109375" style="807" customWidth="1"/>
    <col min="10768" max="10768" width="8.5703125" style="807" customWidth="1"/>
    <col min="10769" max="10769" width="7.85546875" style="807" customWidth="1"/>
    <col min="10770" max="10770" width="8.5703125" style="807" customWidth="1"/>
    <col min="10771" max="10772" width="10.5703125" style="807" customWidth="1"/>
    <col min="10773" max="10773" width="11.140625" style="807" customWidth="1"/>
    <col min="10774" max="10774" width="10.7109375" style="807" bestFit="1" customWidth="1"/>
    <col min="10775" max="11009" width="9.140625" style="807"/>
    <col min="11010" max="11010" width="11.28515625" style="807" customWidth="1"/>
    <col min="11011" max="11011" width="9.7109375" style="807" customWidth="1"/>
    <col min="11012" max="11012" width="8.140625" style="807" customWidth="1"/>
    <col min="11013" max="11013" width="7.42578125" style="807" customWidth="1"/>
    <col min="11014" max="11014" width="9.140625" style="807" customWidth="1"/>
    <col min="11015" max="11015" width="9.5703125" style="807" customWidth="1"/>
    <col min="11016" max="11016" width="8.140625" style="807" customWidth="1"/>
    <col min="11017" max="11017" width="6.85546875" style="807" customWidth="1"/>
    <col min="11018" max="11018" width="9.28515625" style="807" customWidth="1"/>
    <col min="11019" max="11019" width="10.5703125" style="807" customWidth="1"/>
    <col min="11020" max="11020" width="8.7109375" style="807" customWidth="1"/>
    <col min="11021" max="11021" width="7.42578125" style="807" customWidth="1"/>
    <col min="11022" max="11022" width="8.5703125" style="807" customWidth="1"/>
    <col min="11023" max="11023" width="8.7109375" style="807" customWidth="1"/>
    <col min="11024" max="11024" width="8.5703125" style="807" customWidth="1"/>
    <col min="11025" max="11025" width="7.85546875" style="807" customWidth="1"/>
    <col min="11026" max="11026" width="8.5703125" style="807" customWidth="1"/>
    <col min="11027" max="11028" width="10.5703125" style="807" customWidth="1"/>
    <col min="11029" max="11029" width="11.140625" style="807" customWidth="1"/>
    <col min="11030" max="11030" width="10.7109375" style="807" bestFit="1" customWidth="1"/>
    <col min="11031" max="11265" width="9.140625" style="807"/>
    <col min="11266" max="11266" width="11.28515625" style="807" customWidth="1"/>
    <col min="11267" max="11267" width="9.7109375" style="807" customWidth="1"/>
    <col min="11268" max="11268" width="8.140625" style="807" customWidth="1"/>
    <col min="11269" max="11269" width="7.42578125" style="807" customWidth="1"/>
    <col min="11270" max="11270" width="9.140625" style="807" customWidth="1"/>
    <col min="11271" max="11271" width="9.5703125" style="807" customWidth="1"/>
    <col min="11272" max="11272" width="8.140625" style="807" customWidth="1"/>
    <col min="11273" max="11273" width="6.85546875" style="807" customWidth="1"/>
    <col min="11274" max="11274" width="9.28515625" style="807" customWidth="1"/>
    <col min="11275" max="11275" width="10.5703125" style="807" customWidth="1"/>
    <col min="11276" max="11276" width="8.7109375" style="807" customWidth="1"/>
    <col min="11277" max="11277" width="7.42578125" style="807" customWidth="1"/>
    <col min="11278" max="11278" width="8.5703125" style="807" customWidth="1"/>
    <col min="11279" max="11279" width="8.7109375" style="807" customWidth="1"/>
    <col min="11280" max="11280" width="8.5703125" style="807" customWidth="1"/>
    <col min="11281" max="11281" width="7.85546875" style="807" customWidth="1"/>
    <col min="11282" max="11282" width="8.5703125" style="807" customWidth="1"/>
    <col min="11283" max="11284" width="10.5703125" style="807" customWidth="1"/>
    <col min="11285" max="11285" width="11.140625" style="807" customWidth="1"/>
    <col min="11286" max="11286" width="10.7109375" style="807" bestFit="1" customWidth="1"/>
    <col min="11287" max="11521" width="9.140625" style="807"/>
    <col min="11522" max="11522" width="11.28515625" style="807" customWidth="1"/>
    <col min="11523" max="11523" width="9.7109375" style="807" customWidth="1"/>
    <col min="11524" max="11524" width="8.140625" style="807" customWidth="1"/>
    <col min="11525" max="11525" width="7.42578125" style="807" customWidth="1"/>
    <col min="11526" max="11526" width="9.140625" style="807" customWidth="1"/>
    <col min="11527" max="11527" width="9.5703125" style="807" customWidth="1"/>
    <col min="11528" max="11528" width="8.140625" style="807" customWidth="1"/>
    <col min="11529" max="11529" width="6.85546875" style="807" customWidth="1"/>
    <col min="11530" max="11530" width="9.28515625" style="807" customWidth="1"/>
    <col min="11531" max="11531" width="10.5703125" style="807" customWidth="1"/>
    <col min="11532" max="11532" width="8.7109375" style="807" customWidth="1"/>
    <col min="11533" max="11533" width="7.42578125" style="807" customWidth="1"/>
    <col min="11534" max="11534" width="8.5703125" style="807" customWidth="1"/>
    <col min="11535" max="11535" width="8.7109375" style="807" customWidth="1"/>
    <col min="11536" max="11536" width="8.5703125" style="807" customWidth="1"/>
    <col min="11537" max="11537" width="7.85546875" style="807" customWidth="1"/>
    <col min="11538" max="11538" width="8.5703125" style="807" customWidth="1"/>
    <col min="11539" max="11540" width="10.5703125" style="807" customWidth="1"/>
    <col min="11541" max="11541" width="11.140625" style="807" customWidth="1"/>
    <col min="11542" max="11542" width="10.7109375" style="807" bestFit="1" customWidth="1"/>
    <col min="11543" max="11777" width="9.140625" style="807"/>
    <col min="11778" max="11778" width="11.28515625" style="807" customWidth="1"/>
    <col min="11779" max="11779" width="9.7109375" style="807" customWidth="1"/>
    <col min="11780" max="11780" width="8.140625" style="807" customWidth="1"/>
    <col min="11781" max="11781" width="7.42578125" style="807" customWidth="1"/>
    <col min="11782" max="11782" width="9.140625" style="807" customWidth="1"/>
    <col min="11783" max="11783" width="9.5703125" style="807" customWidth="1"/>
    <col min="11784" max="11784" width="8.140625" style="807" customWidth="1"/>
    <col min="11785" max="11785" width="6.85546875" style="807" customWidth="1"/>
    <col min="11786" max="11786" width="9.28515625" style="807" customWidth="1"/>
    <col min="11787" max="11787" width="10.5703125" style="807" customWidth="1"/>
    <col min="11788" max="11788" width="8.7109375" style="807" customWidth="1"/>
    <col min="11789" max="11789" width="7.42578125" style="807" customWidth="1"/>
    <col min="11790" max="11790" width="8.5703125" style="807" customWidth="1"/>
    <col min="11791" max="11791" width="8.7109375" style="807" customWidth="1"/>
    <col min="11792" max="11792" width="8.5703125" style="807" customWidth="1"/>
    <col min="11793" max="11793" width="7.85546875" style="807" customWidth="1"/>
    <col min="11794" max="11794" width="8.5703125" style="807" customWidth="1"/>
    <col min="11795" max="11796" width="10.5703125" style="807" customWidth="1"/>
    <col min="11797" max="11797" width="11.140625" style="807" customWidth="1"/>
    <col min="11798" max="11798" width="10.7109375" style="807" bestFit="1" customWidth="1"/>
    <col min="11799" max="12033" width="9.140625" style="807"/>
    <col min="12034" max="12034" width="11.28515625" style="807" customWidth="1"/>
    <col min="12035" max="12035" width="9.7109375" style="807" customWidth="1"/>
    <col min="12036" max="12036" width="8.140625" style="807" customWidth="1"/>
    <col min="12037" max="12037" width="7.42578125" style="807" customWidth="1"/>
    <col min="12038" max="12038" width="9.140625" style="807" customWidth="1"/>
    <col min="12039" max="12039" width="9.5703125" style="807" customWidth="1"/>
    <col min="12040" max="12040" width="8.140625" style="807" customWidth="1"/>
    <col min="12041" max="12041" width="6.85546875" style="807" customWidth="1"/>
    <col min="12042" max="12042" width="9.28515625" style="807" customWidth="1"/>
    <col min="12043" max="12043" width="10.5703125" style="807" customWidth="1"/>
    <col min="12044" max="12044" width="8.7109375" style="807" customWidth="1"/>
    <col min="12045" max="12045" width="7.42578125" style="807" customWidth="1"/>
    <col min="12046" max="12046" width="8.5703125" style="807" customWidth="1"/>
    <col min="12047" max="12047" width="8.7109375" style="807" customWidth="1"/>
    <col min="12048" max="12048" width="8.5703125" style="807" customWidth="1"/>
    <col min="12049" max="12049" width="7.85546875" style="807" customWidth="1"/>
    <col min="12050" max="12050" width="8.5703125" style="807" customWidth="1"/>
    <col min="12051" max="12052" width="10.5703125" style="807" customWidth="1"/>
    <col min="12053" max="12053" width="11.140625" style="807" customWidth="1"/>
    <col min="12054" max="12054" width="10.7109375" style="807" bestFit="1" customWidth="1"/>
    <col min="12055" max="12289" width="9.140625" style="807"/>
    <col min="12290" max="12290" width="11.28515625" style="807" customWidth="1"/>
    <col min="12291" max="12291" width="9.7109375" style="807" customWidth="1"/>
    <col min="12292" max="12292" width="8.140625" style="807" customWidth="1"/>
    <col min="12293" max="12293" width="7.42578125" style="807" customWidth="1"/>
    <col min="12294" max="12294" width="9.140625" style="807" customWidth="1"/>
    <col min="12295" max="12295" width="9.5703125" style="807" customWidth="1"/>
    <col min="12296" max="12296" width="8.140625" style="807" customWidth="1"/>
    <col min="12297" max="12297" width="6.85546875" style="807" customWidth="1"/>
    <col min="12298" max="12298" width="9.28515625" style="807" customWidth="1"/>
    <col min="12299" max="12299" width="10.5703125" style="807" customWidth="1"/>
    <col min="12300" max="12300" width="8.7109375" style="807" customWidth="1"/>
    <col min="12301" max="12301" width="7.42578125" style="807" customWidth="1"/>
    <col min="12302" max="12302" width="8.5703125" style="807" customWidth="1"/>
    <col min="12303" max="12303" width="8.7109375" style="807" customWidth="1"/>
    <col min="12304" max="12304" width="8.5703125" style="807" customWidth="1"/>
    <col min="12305" max="12305" width="7.85546875" style="807" customWidth="1"/>
    <col min="12306" max="12306" width="8.5703125" style="807" customWidth="1"/>
    <col min="12307" max="12308" width="10.5703125" style="807" customWidth="1"/>
    <col min="12309" max="12309" width="11.140625" style="807" customWidth="1"/>
    <col min="12310" max="12310" width="10.7109375" style="807" bestFit="1" customWidth="1"/>
    <col min="12311" max="12545" width="9.140625" style="807"/>
    <col min="12546" max="12546" width="11.28515625" style="807" customWidth="1"/>
    <col min="12547" max="12547" width="9.7109375" style="807" customWidth="1"/>
    <col min="12548" max="12548" width="8.140625" style="807" customWidth="1"/>
    <col min="12549" max="12549" width="7.42578125" style="807" customWidth="1"/>
    <col min="12550" max="12550" width="9.140625" style="807" customWidth="1"/>
    <col min="12551" max="12551" width="9.5703125" style="807" customWidth="1"/>
    <col min="12552" max="12552" width="8.140625" style="807" customWidth="1"/>
    <col min="12553" max="12553" width="6.85546875" style="807" customWidth="1"/>
    <col min="12554" max="12554" width="9.28515625" style="807" customWidth="1"/>
    <col min="12555" max="12555" width="10.5703125" style="807" customWidth="1"/>
    <col min="12556" max="12556" width="8.7109375" style="807" customWidth="1"/>
    <col min="12557" max="12557" width="7.42578125" style="807" customWidth="1"/>
    <col min="12558" max="12558" width="8.5703125" style="807" customWidth="1"/>
    <col min="12559" max="12559" width="8.7109375" style="807" customWidth="1"/>
    <col min="12560" max="12560" width="8.5703125" style="807" customWidth="1"/>
    <col min="12561" max="12561" width="7.85546875" style="807" customWidth="1"/>
    <col min="12562" max="12562" width="8.5703125" style="807" customWidth="1"/>
    <col min="12563" max="12564" width="10.5703125" style="807" customWidth="1"/>
    <col min="12565" max="12565" width="11.140625" style="807" customWidth="1"/>
    <col min="12566" max="12566" width="10.7109375" style="807" bestFit="1" customWidth="1"/>
    <col min="12567" max="12801" width="9.140625" style="807"/>
    <col min="12802" max="12802" width="11.28515625" style="807" customWidth="1"/>
    <col min="12803" max="12803" width="9.7109375" style="807" customWidth="1"/>
    <col min="12804" max="12804" width="8.140625" style="807" customWidth="1"/>
    <col min="12805" max="12805" width="7.42578125" style="807" customWidth="1"/>
    <col min="12806" max="12806" width="9.140625" style="807" customWidth="1"/>
    <col min="12807" max="12807" width="9.5703125" style="807" customWidth="1"/>
    <col min="12808" max="12808" width="8.140625" style="807" customWidth="1"/>
    <col min="12809" max="12809" width="6.85546875" style="807" customWidth="1"/>
    <col min="12810" max="12810" width="9.28515625" style="807" customWidth="1"/>
    <col min="12811" max="12811" width="10.5703125" style="807" customWidth="1"/>
    <col min="12812" max="12812" width="8.7109375" style="807" customWidth="1"/>
    <col min="12813" max="12813" width="7.42578125" style="807" customWidth="1"/>
    <col min="12814" max="12814" width="8.5703125" style="807" customWidth="1"/>
    <col min="12815" max="12815" width="8.7109375" style="807" customWidth="1"/>
    <col min="12816" max="12816" width="8.5703125" style="807" customWidth="1"/>
    <col min="12817" max="12817" width="7.85546875" style="807" customWidth="1"/>
    <col min="12818" max="12818" width="8.5703125" style="807" customWidth="1"/>
    <col min="12819" max="12820" width="10.5703125" style="807" customWidth="1"/>
    <col min="12821" max="12821" width="11.140625" style="807" customWidth="1"/>
    <col min="12822" max="12822" width="10.7109375" style="807" bestFit="1" customWidth="1"/>
    <col min="12823" max="13057" width="9.140625" style="807"/>
    <col min="13058" max="13058" width="11.28515625" style="807" customWidth="1"/>
    <col min="13059" max="13059" width="9.7109375" style="807" customWidth="1"/>
    <col min="13060" max="13060" width="8.140625" style="807" customWidth="1"/>
    <col min="13061" max="13061" width="7.42578125" style="807" customWidth="1"/>
    <col min="13062" max="13062" width="9.140625" style="807" customWidth="1"/>
    <col min="13063" max="13063" width="9.5703125" style="807" customWidth="1"/>
    <col min="13064" max="13064" width="8.140625" style="807" customWidth="1"/>
    <col min="13065" max="13065" width="6.85546875" style="807" customWidth="1"/>
    <col min="13066" max="13066" width="9.28515625" style="807" customWidth="1"/>
    <col min="13067" max="13067" width="10.5703125" style="807" customWidth="1"/>
    <col min="13068" max="13068" width="8.7109375" style="807" customWidth="1"/>
    <col min="13069" max="13069" width="7.42578125" style="807" customWidth="1"/>
    <col min="13070" max="13070" width="8.5703125" style="807" customWidth="1"/>
    <col min="13071" max="13071" width="8.7109375" style="807" customWidth="1"/>
    <col min="13072" max="13072" width="8.5703125" style="807" customWidth="1"/>
    <col min="13073" max="13073" width="7.85546875" style="807" customWidth="1"/>
    <col min="13074" max="13074" width="8.5703125" style="807" customWidth="1"/>
    <col min="13075" max="13076" width="10.5703125" style="807" customWidth="1"/>
    <col min="13077" max="13077" width="11.140625" style="807" customWidth="1"/>
    <col min="13078" max="13078" width="10.7109375" style="807" bestFit="1" customWidth="1"/>
    <col min="13079" max="13313" width="9.140625" style="807"/>
    <col min="13314" max="13314" width="11.28515625" style="807" customWidth="1"/>
    <col min="13315" max="13315" width="9.7109375" style="807" customWidth="1"/>
    <col min="13316" max="13316" width="8.140625" style="807" customWidth="1"/>
    <col min="13317" max="13317" width="7.42578125" style="807" customWidth="1"/>
    <col min="13318" max="13318" width="9.140625" style="807" customWidth="1"/>
    <col min="13319" max="13319" width="9.5703125" style="807" customWidth="1"/>
    <col min="13320" max="13320" width="8.140625" style="807" customWidth="1"/>
    <col min="13321" max="13321" width="6.85546875" style="807" customWidth="1"/>
    <col min="13322" max="13322" width="9.28515625" style="807" customWidth="1"/>
    <col min="13323" max="13323" width="10.5703125" style="807" customWidth="1"/>
    <col min="13324" max="13324" width="8.7109375" style="807" customWidth="1"/>
    <col min="13325" max="13325" width="7.42578125" style="807" customWidth="1"/>
    <col min="13326" max="13326" width="8.5703125" style="807" customWidth="1"/>
    <col min="13327" max="13327" width="8.7109375" style="807" customWidth="1"/>
    <col min="13328" max="13328" width="8.5703125" style="807" customWidth="1"/>
    <col min="13329" max="13329" width="7.85546875" style="807" customWidth="1"/>
    <col min="13330" max="13330" width="8.5703125" style="807" customWidth="1"/>
    <col min="13331" max="13332" width="10.5703125" style="807" customWidth="1"/>
    <col min="13333" max="13333" width="11.140625" style="807" customWidth="1"/>
    <col min="13334" max="13334" width="10.7109375" style="807" bestFit="1" customWidth="1"/>
    <col min="13335" max="13569" width="9.140625" style="807"/>
    <col min="13570" max="13570" width="11.28515625" style="807" customWidth="1"/>
    <col min="13571" max="13571" width="9.7109375" style="807" customWidth="1"/>
    <col min="13572" max="13572" width="8.140625" style="807" customWidth="1"/>
    <col min="13573" max="13573" width="7.42578125" style="807" customWidth="1"/>
    <col min="13574" max="13574" width="9.140625" style="807" customWidth="1"/>
    <col min="13575" max="13575" width="9.5703125" style="807" customWidth="1"/>
    <col min="13576" max="13576" width="8.140625" style="807" customWidth="1"/>
    <col min="13577" max="13577" width="6.85546875" style="807" customWidth="1"/>
    <col min="13578" max="13578" width="9.28515625" style="807" customWidth="1"/>
    <col min="13579" max="13579" width="10.5703125" style="807" customWidth="1"/>
    <col min="13580" max="13580" width="8.7109375" style="807" customWidth="1"/>
    <col min="13581" max="13581" width="7.42578125" style="807" customWidth="1"/>
    <col min="13582" max="13582" width="8.5703125" style="807" customWidth="1"/>
    <col min="13583" max="13583" width="8.7109375" style="807" customWidth="1"/>
    <col min="13584" max="13584" width="8.5703125" style="807" customWidth="1"/>
    <col min="13585" max="13585" width="7.85546875" style="807" customWidth="1"/>
    <col min="13586" max="13586" width="8.5703125" style="807" customWidth="1"/>
    <col min="13587" max="13588" width="10.5703125" style="807" customWidth="1"/>
    <col min="13589" max="13589" width="11.140625" style="807" customWidth="1"/>
    <col min="13590" max="13590" width="10.7109375" style="807" bestFit="1" customWidth="1"/>
    <col min="13591" max="13825" width="9.140625" style="807"/>
    <col min="13826" max="13826" width="11.28515625" style="807" customWidth="1"/>
    <col min="13827" max="13827" width="9.7109375" style="807" customWidth="1"/>
    <col min="13828" max="13828" width="8.140625" style="807" customWidth="1"/>
    <col min="13829" max="13829" width="7.42578125" style="807" customWidth="1"/>
    <col min="13830" max="13830" width="9.140625" style="807" customWidth="1"/>
    <col min="13831" max="13831" width="9.5703125" style="807" customWidth="1"/>
    <col min="13832" max="13832" width="8.140625" style="807" customWidth="1"/>
    <col min="13833" max="13833" width="6.85546875" style="807" customWidth="1"/>
    <col min="13834" max="13834" width="9.28515625" style="807" customWidth="1"/>
    <col min="13835" max="13835" width="10.5703125" style="807" customWidth="1"/>
    <col min="13836" max="13836" width="8.7109375" style="807" customWidth="1"/>
    <col min="13837" max="13837" width="7.42578125" style="807" customWidth="1"/>
    <col min="13838" max="13838" width="8.5703125" style="807" customWidth="1"/>
    <col min="13839" max="13839" width="8.7109375" style="807" customWidth="1"/>
    <col min="13840" max="13840" width="8.5703125" style="807" customWidth="1"/>
    <col min="13841" max="13841" width="7.85546875" style="807" customWidth="1"/>
    <col min="13842" max="13842" width="8.5703125" style="807" customWidth="1"/>
    <col min="13843" max="13844" width="10.5703125" style="807" customWidth="1"/>
    <col min="13845" max="13845" width="11.140625" style="807" customWidth="1"/>
    <col min="13846" max="13846" width="10.7109375" style="807" bestFit="1" customWidth="1"/>
    <col min="13847" max="14081" width="9.140625" style="807"/>
    <col min="14082" max="14082" width="11.28515625" style="807" customWidth="1"/>
    <col min="14083" max="14083" width="9.7109375" style="807" customWidth="1"/>
    <col min="14084" max="14084" width="8.140625" style="807" customWidth="1"/>
    <col min="14085" max="14085" width="7.42578125" style="807" customWidth="1"/>
    <col min="14086" max="14086" width="9.140625" style="807" customWidth="1"/>
    <col min="14087" max="14087" width="9.5703125" style="807" customWidth="1"/>
    <col min="14088" max="14088" width="8.140625" style="807" customWidth="1"/>
    <col min="14089" max="14089" width="6.85546875" style="807" customWidth="1"/>
    <col min="14090" max="14090" width="9.28515625" style="807" customWidth="1"/>
    <col min="14091" max="14091" width="10.5703125" style="807" customWidth="1"/>
    <col min="14092" max="14092" width="8.7109375" style="807" customWidth="1"/>
    <col min="14093" max="14093" width="7.42578125" style="807" customWidth="1"/>
    <col min="14094" max="14094" width="8.5703125" style="807" customWidth="1"/>
    <col min="14095" max="14095" width="8.7109375" style="807" customWidth="1"/>
    <col min="14096" max="14096" width="8.5703125" style="807" customWidth="1"/>
    <col min="14097" max="14097" width="7.85546875" style="807" customWidth="1"/>
    <col min="14098" max="14098" width="8.5703125" style="807" customWidth="1"/>
    <col min="14099" max="14100" width="10.5703125" style="807" customWidth="1"/>
    <col min="14101" max="14101" width="11.140625" style="807" customWidth="1"/>
    <col min="14102" max="14102" width="10.7109375" style="807" bestFit="1" customWidth="1"/>
    <col min="14103" max="14337" width="9.140625" style="807"/>
    <col min="14338" max="14338" width="11.28515625" style="807" customWidth="1"/>
    <col min="14339" max="14339" width="9.7109375" style="807" customWidth="1"/>
    <col min="14340" max="14340" width="8.140625" style="807" customWidth="1"/>
    <col min="14341" max="14341" width="7.42578125" style="807" customWidth="1"/>
    <col min="14342" max="14342" width="9.140625" style="807" customWidth="1"/>
    <col min="14343" max="14343" width="9.5703125" style="807" customWidth="1"/>
    <col min="14344" max="14344" width="8.140625" style="807" customWidth="1"/>
    <col min="14345" max="14345" width="6.85546875" style="807" customWidth="1"/>
    <col min="14346" max="14346" width="9.28515625" style="807" customWidth="1"/>
    <col min="14347" max="14347" width="10.5703125" style="807" customWidth="1"/>
    <col min="14348" max="14348" width="8.7109375" style="807" customWidth="1"/>
    <col min="14349" max="14349" width="7.42578125" style="807" customWidth="1"/>
    <col min="14350" max="14350" width="8.5703125" style="807" customWidth="1"/>
    <col min="14351" max="14351" width="8.7109375" style="807" customWidth="1"/>
    <col min="14352" max="14352" width="8.5703125" style="807" customWidth="1"/>
    <col min="14353" max="14353" width="7.85546875" style="807" customWidth="1"/>
    <col min="14354" max="14354" width="8.5703125" style="807" customWidth="1"/>
    <col min="14355" max="14356" width="10.5703125" style="807" customWidth="1"/>
    <col min="14357" max="14357" width="11.140625" style="807" customWidth="1"/>
    <col min="14358" max="14358" width="10.7109375" style="807" bestFit="1" customWidth="1"/>
    <col min="14359" max="14593" width="9.140625" style="807"/>
    <col min="14594" max="14594" width="11.28515625" style="807" customWidth="1"/>
    <col min="14595" max="14595" width="9.7109375" style="807" customWidth="1"/>
    <col min="14596" max="14596" width="8.140625" style="807" customWidth="1"/>
    <col min="14597" max="14597" width="7.42578125" style="807" customWidth="1"/>
    <col min="14598" max="14598" width="9.140625" style="807" customWidth="1"/>
    <col min="14599" max="14599" width="9.5703125" style="807" customWidth="1"/>
    <col min="14600" max="14600" width="8.140625" style="807" customWidth="1"/>
    <col min="14601" max="14601" width="6.85546875" style="807" customWidth="1"/>
    <col min="14602" max="14602" width="9.28515625" style="807" customWidth="1"/>
    <col min="14603" max="14603" width="10.5703125" style="807" customWidth="1"/>
    <col min="14604" max="14604" width="8.7109375" style="807" customWidth="1"/>
    <col min="14605" max="14605" width="7.42578125" style="807" customWidth="1"/>
    <col min="14606" max="14606" width="8.5703125" style="807" customWidth="1"/>
    <col min="14607" max="14607" width="8.7109375" style="807" customWidth="1"/>
    <col min="14608" max="14608" width="8.5703125" style="807" customWidth="1"/>
    <col min="14609" max="14609" width="7.85546875" style="807" customWidth="1"/>
    <col min="14610" max="14610" width="8.5703125" style="807" customWidth="1"/>
    <col min="14611" max="14612" width="10.5703125" style="807" customWidth="1"/>
    <col min="14613" max="14613" width="11.140625" style="807" customWidth="1"/>
    <col min="14614" max="14614" width="10.7109375" style="807" bestFit="1" customWidth="1"/>
    <col min="14615" max="14849" width="9.140625" style="807"/>
    <col min="14850" max="14850" width="11.28515625" style="807" customWidth="1"/>
    <col min="14851" max="14851" width="9.7109375" style="807" customWidth="1"/>
    <col min="14852" max="14852" width="8.140625" style="807" customWidth="1"/>
    <col min="14853" max="14853" width="7.42578125" style="807" customWidth="1"/>
    <col min="14854" max="14854" width="9.140625" style="807" customWidth="1"/>
    <col min="14855" max="14855" width="9.5703125" style="807" customWidth="1"/>
    <col min="14856" max="14856" width="8.140625" style="807" customWidth="1"/>
    <col min="14857" max="14857" width="6.85546875" style="807" customWidth="1"/>
    <col min="14858" max="14858" width="9.28515625" style="807" customWidth="1"/>
    <col min="14859" max="14859" width="10.5703125" style="807" customWidth="1"/>
    <col min="14860" max="14860" width="8.7109375" style="807" customWidth="1"/>
    <col min="14861" max="14861" width="7.42578125" style="807" customWidth="1"/>
    <col min="14862" max="14862" width="8.5703125" style="807" customWidth="1"/>
    <col min="14863" max="14863" width="8.7109375" style="807" customWidth="1"/>
    <col min="14864" max="14864" width="8.5703125" style="807" customWidth="1"/>
    <col min="14865" max="14865" width="7.85546875" style="807" customWidth="1"/>
    <col min="14866" max="14866" width="8.5703125" style="807" customWidth="1"/>
    <col min="14867" max="14868" width="10.5703125" style="807" customWidth="1"/>
    <col min="14869" max="14869" width="11.140625" style="807" customWidth="1"/>
    <col min="14870" max="14870" width="10.7109375" style="807" bestFit="1" customWidth="1"/>
    <col min="14871" max="15105" width="9.140625" style="807"/>
    <col min="15106" max="15106" width="11.28515625" style="807" customWidth="1"/>
    <col min="15107" max="15107" width="9.7109375" style="807" customWidth="1"/>
    <col min="15108" max="15108" width="8.140625" style="807" customWidth="1"/>
    <col min="15109" max="15109" width="7.42578125" style="807" customWidth="1"/>
    <col min="15110" max="15110" width="9.140625" style="807" customWidth="1"/>
    <col min="15111" max="15111" width="9.5703125" style="807" customWidth="1"/>
    <col min="15112" max="15112" width="8.140625" style="807" customWidth="1"/>
    <col min="15113" max="15113" width="6.85546875" style="807" customWidth="1"/>
    <col min="15114" max="15114" width="9.28515625" style="807" customWidth="1"/>
    <col min="15115" max="15115" width="10.5703125" style="807" customWidth="1"/>
    <col min="15116" max="15116" width="8.7109375" style="807" customWidth="1"/>
    <col min="15117" max="15117" width="7.42578125" style="807" customWidth="1"/>
    <col min="15118" max="15118" width="8.5703125" style="807" customWidth="1"/>
    <col min="15119" max="15119" width="8.7109375" style="807" customWidth="1"/>
    <col min="15120" max="15120" width="8.5703125" style="807" customWidth="1"/>
    <col min="15121" max="15121" width="7.85546875" style="807" customWidth="1"/>
    <col min="15122" max="15122" width="8.5703125" style="807" customWidth="1"/>
    <col min="15123" max="15124" width="10.5703125" style="807" customWidth="1"/>
    <col min="15125" max="15125" width="11.140625" style="807" customWidth="1"/>
    <col min="15126" max="15126" width="10.7109375" style="807" bestFit="1" customWidth="1"/>
    <col min="15127" max="15361" width="9.140625" style="807"/>
    <col min="15362" max="15362" width="11.28515625" style="807" customWidth="1"/>
    <col min="15363" max="15363" width="9.7109375" style="807" customWidth="1"/>
    <col min="15364" max="15364" width="8.140625" style="807" customWidth="1"/>
    <col min="15365" max="15365" width="7.42578125" style="807" customWidth="1"/>
    <col min="15366" max="15366" width="9.140625" style="807" customWidth="1"/>
    <col min="15367" max="15367" width="9.5703125" style="807" customWidth="1"/>
    <col min="15368" max="15368" width="8.140625" style="807" customWidth="1"/>
    <col min="15369" max="15369" width="6.85546875" style="807" customWidth="1"/>
    <col min="15370" max="15370" width="9.28515625" style="807" customWidth="1"/>
    <col min="15371" max="15371" width="10.5703125" style="807" customWidth="1"/>
    <col min="15372" max="15372" width="8.7109375" style="807" customWidth="1"/>
    <col min="15373" max="15373" width="7.42578125" style="807" customWidth="1"/>
    <col min="15374" max="15374" width="8.5703125" style="807" customWidth="1"/>
    <col min="15375" max="15375" width="8.7109375" style="807" customWidth="1"/>
    <col min="15376" max="15376" width="8.5703125" style="807" customWidth="1"/>
    <col min="15377" max="15377" width="7.85546875" style="807" customWidth="1"/>
    <col min="15378" max="15378" width="8.5703125" style="807" customWidth="1"/>
    <col min="15379" max="15380" width="10.5703125" style="807" customWidth="1"/>
    <col min="15381" max="15381" width="11.140625" style="807" customWidth="1"/>
    <col min="15382" max="15382" width="10.7109375" style="807" bestFit="1" customWidth="1"/>
    <col min="15383" max="15617" width="9.140625" style="807"/>
    <col min="15618" max="15618" width="11.28515625" style="807" customWidth="1"/>
    <col min="15619" max="15619" width="9.7109375" style="807" customWidth="1"/>
    <col min="15620" max="15620" width="8.140625" style="807" customWidth="1"/>
    <col min="15621" max="15621" width="7.42578125" style="807" customWidth="1"/>
    <col min="15622" max="15622" width="9.140625" style="807" customWidth="1"/>
    <col min="15623" max="15623" width="9.5703125" style="807" customWidth="1"/>
    <col min="15624" max="15624" width="8.140625" style="807" customWidth="1"/>
    <col min="15625" max="15625" width="6.85546875" style="807" customWidth="1"/>
    <col min="15626" max="15626" width="9.28515625" style="807" customWidth="1"/>
    <col min="15627" max="15627" width="10.5703125" style="807" customWidth="1"/>
    <col min="15628" max="15628" width="8.7109375" style="807" customWidth="1"/>
    <col min="15629" max="15629" width="7.42578125" style="807" customWidth="1"/>
    <col min="15630" max="15630" width="8.5703125" style="807" customWidth="1"/>
    <col min="15631" max="15631" width="8.7109375" style="807" customWidth="1"/>
    <col min="15632" max="15632" width="8.5703125" style="807" customWidth="1"/>
    <col min="15633" max="15633" width="7.85546875" style="807" customWidth="1"/>
    <col min="15634" max="15634" width="8.5703125" style="807" customWidth="1"/>
    <col min="15635" max="15636" width="10.5703125" style="807" customWidth="1"/>
    <col min="15637" max="15637" width="11.140625" style="807" customWidth="1"/>
    <col min="15638" max="15638" width="10.7109375" style="807" bestFit="1" customWidth="1"/>
    <col min="15639" max="15873" width="9.140625" style="807"/>
    <col min="15874" max="15874" width="11.28515625" style="807" customWidth="1"/>
    <col min="15875" max="15875" width="9.7109375" style="807" customWidth="1"/>
    <col min="15876" max="15876" width="8.140625" style="807" customWidth="1"/>
    <col min="15877" max="15877" width="7.42578125" style="807" customWidth="1"/>
    <col min="15878" max="15878" width="9.140625" style="807" customWidth="1"/>
    <col min="15879" max="15879" width="9.5703125" style="807" customWidth="1"/>
    <col min="15880" max="15880" width="8.140625" style="807" customWidth="1"/>
    <col min="15881" max="15881" width="6.85546875" style="807" customWidth="1"/>
    <col min="15882" max="15882" width="9.28515625" style="807" customWidth="1"/>
    <col min="15883" max="15883" width="10.5703125" style="807" customWidth="1"/>
    <col min="15884" max="15884" width="8.7109375" style="807" customWidth="1"/>
    <col min="15885" max="15885" width="7.42578125" style="807" customWidth="1"/>
    <col min="15886" max="15886" width="8.5703125" style="807" customWidth="1"/>
    <col min="15887" max="15887" width="8.7109375" style="807" customWidth="1"/>
    <col min="15888" max="15888" width="8.5703125" style="807" customWidth="1"/>
    <col min="15889" max="15889" width="7.85546875" style="807" customWidth="1"/>
    <col min="15890" max="15890" width="8.5703125" style="807" customWidth="1"/>
    <col min="15891" max="15892" width="10.5703125" style="807" customWidth="1"/>
    <col min="15893" max="15893" width="11.140625" style="807" customWidth="1"/>
    <col min="15894" max="15894" width="10.7109375" style="807" bestFit="1" customWidth="1"/>
    <col min="15895" max="16129" width="9.140625" style="807"/>
    <col min="16130" max="16130" width="11.28515625" style="807" customWidth="1"/>
    <col min="16131" max="16131" width="9.7109375" style="807" customWidth="1"/>
    <col min="16132" max="16132" width="8.140625" style="807" customWidth="1"/>
    <col min="16133" max="16133" width="7.42578125" style="807" customWidth="1"/>
    <col min="16134" max="16134" width="9.140625" style="807" customWidth="1"/>
    <col min="16135" max="16135" width="9.5703125" style="807" customWidth="1"/>
    <col min="16136" max="16136" width="8.140625" style="807" customWidth="1"/>
    <col min="16137" max="16137" width="6.85546875" style="807" customWidth="1"/>
    <col min="16138" max="16138" width="9.28515625" style="807" customWidth="1"/>
    <col min="16139" max="16139" width="10.5703125" style="807" customWidth="1"/>
    <col min="16140" max="16140" width="8.7109375" style="807" customWidth="1"/>
    <col min="16141" max="16141" width="7.42578125" style="807" customWidth="1"/>
    <col min="16142" max="16142" width="8.5703125" style="807" customWidth="1"/>
    <col min="16143" max="16143" width="8.7109375" style="807" customWidth="1"/>
    <col min="16144" max="16144" width="8.5703125" style="807" customWidth="1"/>
    <col min="16145" max="16145" width="7.85546875" style="807" customWidth="1"/>
    <col min="16146" max="16146" width="8.5703125" style="807" customWidth="1"/>
    <col min="16147" max="16148" width="10.5703125" style="807" customWidth="1"/>
    <col min="16149" max="16149" width="11.140625" style="807" customWidth="1"/>
    <col min="16150" max="16150" width="10.7109375" style="807" bestFit="1" customWidth="1"/>
    <col min="16151" max="16384" width="9.140625" style="807"/>
  </cols>
  <sheetData>
    <row r="1" spans="1:24" s="795" customFormat="1" ht="15.75" x14ac:dyDescent="0.25">
      <c r="C1" s="34"/>
      <c r="D1" s="34"/>
      <c r="E1" s="34"/>
      <c r="F1" s="34"/>
      <c r="G1" s="34"/>
      <c r="H1" s="34"/>
      <c r="I1" s="69" t="s">
        <v>0</v>
      </c>
      <c r="J1" s="69"/>
      <c r="S1" s="798"/>
      <c r="T1" s="798"/>
      <c r="U1" s="1225" t="s">
        <v>680</v>
      </c>
      <c r="V1" s="1225"/>
      <c r="W1" s="32"/>
      <c r="X1" s="32"/>
    </row>
    <row r="2" spans="1:24" s="795" customFormat="1" ht="20.25" x14ac:dyDescent="0.3">
      <c r="E2" s="1180" t="s">
        <v>788</v>
      </c>
      <c r="F2" s="1180"/>
      <c r="G2" s="1180"/>
      <c r="H2" s="1180"/>
      <c r="I2" s="1180"/>
      <c r="J2" s="1180"/>
      <c r="K2" s="1180"/>
      <c r="L2" s="1180"/>
      <c r="M2" s="1180"/>
      <c r="N2" s="1180"/>
      <c r="O2" s="1180"/>
      <c r="P2" s="1180"/>
    </row>
    <row r="3" spans="1:24" s="795" customFormat="1" ht="20.25" x14ac:dyDescent="0.3">
      <c r="H3" s="33"/>
      <c r="I3" s="33"/>
      <c r="J3" s="33"/>
      <c r="K3" s="33"/>
      <c r="L3" s="33"/>
      <c r="M3" s="33"/>
      <c r="N3" s="33"/>
      <c r="O3" s="33"/>
      <c r="P3" s="33"/>
    </row>
    <row r="4" spans="1:24" ht="18" x14ac:dyDescent="0.25">
      <c r="A4" s="1515" t="s">
        <v>849</v>
      </c>
      <c r="B4" s="1515"/>
      <c r="C4" s="1515"/>
      <c r="D4" s="1515"/>
      <c r="E4" s="1515"/>
      <c r="F4" s="1515"/>
      <c r="G4" s="1515"/>
      <c r="H4" s="1515"/>
      <c r="I4" s="1515"/>
      <c r="J4" s="1515"/>
      <c r="K4" s="1515"/>
      <c r="L4" s="1515"/>
      <c r="M4" s="1515"/>
      <c r="N4" s="1515"/>
      <c r="O4" s="1515"/>
      <c r="P4" s="1515"/>
      <c r="Q4" s="1515"/>
      <c r="R4" s="1515"/>
      <c r="S4" s="1515"/>
      <c r="T4" s="1515"/>
      <c r="U4" s="1515"/>
      <c r="V4" s="1515"/>
      <c r="W4" s="69"/>
    </row>
    <row r="5" spans="1:24" x14ac:dyDescent="0.25">
      <c r="C5" s="808"/>
      <c r="D5" s="808"/>
      <c r="E5" s="808"/>
      <c r="F5" s="808"/>
      <c r="G5" s="808"/>
      <c r="H5" s="808"/>
      <c r="M5" s="808"/>
      <c r="N5" s="808"/>
      <c r="O5" s="808"/>
      <c r="P5" s="808"/>
      <c r="Q5" s="808"/>
      <c r="R5" s="808"/>
      <c r="S5" s="808"/>
      <c r="T5" s="808"/>
      <c r="U5" s="808"/>
      <c r="V5" s="808"/>
      <c r="W5" s="808"/>
    </row>
    <row r="6" spans="1:24" x14ac:dyDescent="0.25">
      <c r="A6" s="822" t="s">
        <v>850</v>
      </c>
      <c r="B6" s="810"/>
    </row>
    <row r="7" spans="1:24" x14ac:dyDescent="0.25">
      <c r="B7" s="811"/>
    </row>
    <row r="8" spans="1:24" s="822" customFormat="1" ht="24.75" customHeight="1" x14ac:dyDescent="0.25">
      <c r="A8" s="1145" t="s">
        <v>2</v>
      </c>
      <c r="B8" s="1510" t="s">
        <v>3</v>
      </c>
      <c r="C8" s="1511" t="s">
        <v>851</v>
      </c>
      <c r="D8" s="1512"/>
      <c r="E8" s="1512"/>
      <c r="F8" s="1512"/>
      <c r="G8" s="1511" t="s">
        <v>852</v>
      </c>
      <c r="H8" s="1512"/>
      <c r="I8" s="1512"/>
      <c r="J8" s="1512"/>
      <c r="K8" s="1511" t="s">
        <v>853</v>
      </c>
      <c r="L8" s="1512"/>
      <c r="M8" s="1512"/>
      <c r="N8" s="1512"/>
      <c r="O8" s="1511" t="s">
        <v>854</v>
      </c>
      <c r="P8" s="1512"/>
      <c r="Q8" s="1512"/>
      <c r="R8" s="1512"/>
      <c r="S8" s="1513" t="s">
        <v>18</v>
      </c>
      <c r="T8" s="1514"/>
      <c r="U8" s="1514"/>
      <c r="V8" s="1514"/>
    </row>
    <row r="9" spans="1:24" s="812" customFormat="1" ht="29.25" customHeight="1" x14ac:dyDescent="0.25">
      <c r="A9" s="1145"/>
      <c r="B9" s="1510"/>
      <c r="C9" s="1516" t="s">
        <v>855</v>
      </c>
      <c r="D9" s="1518" t="s">
        <v>856</v>
      </c>
      <c r="E9" s="1519"/>
      <c r="F9" s="1520"/>
      <c r="G9" s="1516" t="s">
        <v>855</v>
      </c>
      <c r="H9" s="1518" t="s">
        <v>856</v>
      </c>
      <c r="I9" s="1519"/>
      <c r="J9" s="1520"/>
      <c r="K9" s="1516" t="s">
        <v>855</v>
      </c>
      <c r="L9" s="1518" t="s">
        <v>856</v>
      </c>
      <c r="M9" s="1519"/>
      <c r="N9" s="1520"/>
      <c r="O9" s="1516" t="s">
        <v>855</v>
      </c>
      <c r="P9" s="1518" t="s">
        <v>856</v>
      </c>
      <c r="Q9" s="1519"/>
      <c r="R9" s="1520"/>
      <c r="S9" s="1516" t="s">
        <v>855</v>
      </c>
      <c r="T9" s="1518" t="s">
        <v>856</v>
      </c>
      <c r="U9" s="1519"/>
      <c r="V9" s="1520"/>
    </row>
    <row r="10" spans="1:24" s="812" customFormat="1" ht="46.5" customHeight="1" x14ac:dyDescent="0.25">
      <c r="A10" s="1145"/>
      <c r="B10" s="1510"/>
      <c r="C10" s="1517"/>
      <c r="D10" s="871" t="s">
        <v>218</v>
      </c>
      <c r="E10" s="871" t="s">
        <v>219</v>
      </c>
      <c r="F10" s="871" t="s">
        <v>18</v>
      </c>
      <c r="G10" s="1517"/>
      <c r="H10" s="871" t="s">
        <v>218</v>
      </c>
      <c r="I10" s="871" t="s">
        <v>219</v>
      </c>
      <c r="J10" s="871" t="s">
        <v>18</v>
      </c>
      <c r="K10" s="1517"/>
      <c r="L10" s="871" t="s">
        <v>218</v>
      </c>
      <c r="M10" s="871" t="s">
        <v>219</v>
      </c>
      <c r="N10" s="871" t="s">
        <v>18</v>
      </c>
      <c r="O10" s="1517"/>
      <c r="P10" s="871" t="s">
        <v>218</v>
      </c>
      <c r="Q10" s="871" t="s">
        <v>219</v>
      </c>
      <c r="R10" s="871" t="s">
        <v>18</v>
      </c>
      <c r="S10" s="1517"/>
      <c r="T10" s="871" t="s">
        <v>218</v>
      </c>
      <c r="U10" s="871" t="s">
        <v>219</v>
      </c>
      <c r="V10" s="871" t="s">
        <v>18</v>
      </c>
    </row>
    <row r="11" spans="1:24" s="825" customFormat="1" ht="16.149999999999999" customHeight="1" x14ac:dyDescent="0.25">
      <c r="A11" s="823">
        <v>1</v>
      </c>
      <c r="B11" s="824">
        <v>2</v>
      </c>
      <c r="C11" s="824">
        <v>3</v>
      </c>
      <c r="D11" s="823">
        <v>4</v>
      </c>
      <c r="E11" s="824">
        <v>5</v>
      </c>
      <c r="F11" s="824">
        <v>6</v>
      </c>
      <c r="G11" s="823">
        <v>7</v>
      </c>
      <c r="H11" s="824">
        <v>8</v>
      </c>
      <c r="I11" s="824">
        <v>9</v>
      </c>
      <c r="J11" s="823">
        <v>10</v>
      </c>
      <c r="K11" s="824">
        <v>11</v>
      </c>
      <c r="L11" s="824">
        <v>12</v>
      </c>
      <c r="M11" s="823">
        <v>13</v>
      </c>
      <c r="N11" s="824">
        <v>14</v>
      </c>
      <c r="O11" s="824">
        <v>15</v>
      </c>
      <c r="P11" s="823">
        <v>16</v>
      </c>
      <c r="Q11" s="824">
        <v>17</v>
      </c>
      <c r="R11" s="824">
        <v>18</v>
      </c>
      <c r="S11" s="823">
        <v>19</v>
      </c>
      <c r="T11" s="824">
        <v>20</v>
      </c>
      <c r="U11" s="824">
        <v>21</v>
      </c>
      <c r="V11" s="823">
        <v>22</v>
      </c>
    </row>
    <row r="12" spans="1:24" ht="15.75" x14ac:dyDescent="0.25">
      <c r="A12" s="626">
        <v>1</v>
      </c>
      <c r="B12" s="867" t="s">
        <v>386</v>
      </c>
      <c r="C12" s="864">
        <v>0</v>
      </c>
      <c r="D12" s="865">
        <f>C12*9000*0.00001</f>
        <v>0</v>
      </c>
      <c r="E12" s="865">
        <f>C12*1000*0.00001</f>
        <v>0</v>
      </c>
      <c r="F12" s="865">
        <f>D12+E12</f>
        <v>0</v>
      </c>
      <c r="G12" s="864">
        <v>0</v>
      </c>
      <c r="H12" s="865">
        <f>G12*13500*0.00001</f>
        <v>0</v>
      </c>
      <c r="I12" s="865">
        <f>G12*1500*0.00001</f>
        <v>0</v>
      </c>
      <c r="J12" s="865">
        <f>H12+I12</f>
        <v>0</v>
      </c>
      <c r="K12" s="864">
        <v>0</v>
      </c>
      <c r="L12" s="865">
        <f>K12*18000*0.00001</f>
        <v>0</v>
      </c>
      <c r="M12" s="865">
        <f>K12*2000*0.00001</f>
        <v>0</v>
      </c>
      <c r="N12" s="865">
        <f>L12+M12</f>
        <v>0</v>
      </c>
      <c r="O12" s="864">
        <v>0</v>
      </c>
      <c r="P12" s="865">
        <f>O12*22500*0.00001</f>
        <v>0</v>
      </c>
      <c r="Q12" s="865">
        <f>O12*2500*0.00001</f>
        <v>0</v>
      </c>
      <c r="R12" s="865">
        <f>P12+Q12</f>
        <v>0</v>
      </c>
      <c r="S12" s="864">
        <f>C12+G12+K12+O12</f>
        <v>0</v>
      </c>
      <c r="T12" s="865">
        <f t="shared" ref="T12:U12" si="0">D12+H12+L12+P12</f>
        <v>0</v>
      </c>
      <c r="U12" s="865">
        <f t="shared" si="0"/>
        <v>0</v>
      </c>
      <c r="V12" s="865">
        <f>T12+U12</f>
        <v>0</v>
      </c>
    </row>
    <row r="13" spans="1:24" ht="15.75" x14ac:dyDescent="0.25">
      <c r="A13" s="626">
        <v>2</v>
      </c>
      <c r="B13" s="867" t="s">
        <v>387</v>
      </c>
      <c r="C13" s="864">
        <v>0</v>
      </c>
      <c r="D13" s="865">
        <f t="shared" ref="D13:D24" si="1">C13*9000*0.00001</f>
        <v>0</v>
      </c>
      <c r="E13" s="865">
        <f t="shared" ref="E13:E24" si="2">C13*1000*0.00001</f>
        <v>0</v>
      </c>
      <c r="F13" s="865">
        <f t="shared" ref="F13:F24" si="3">D13+E13</f>
        <v>0</v>
      </c>
      <c r="G13" s="864">
        <v>0</v>
      </c>
      <c r="H13" s="865">
        <f t="shared" ref="H13:H24" si="4">G13*13500*0.00001</f>
        <v>0</v>
      </c>
      <c r="I13" s="865">
        <f t="shared" ref="I13:I24" si="5">G13*1500*0.00001</f>
        <v>0</v>
      </c>
      <c r="J13" s="865">
        <f t="shared" ref="J13:J24" si="6">H13+I13</f>
        <v>0</v>
      </c>
      <c r="K13" s="864">
        <v>0</v>
      </c>
      <c r="L13" s="865">
        <f t="shared" ref="L13:L24" si="7">K13*18000*0.00001</f>
        <v>0</v>
      </c>
      <c r="M13" s="865">
        <f t="shared" ref="M13:M24" si="8">K13*2000*0.00001</f>
        <v>0</v>
      </c>
      <c r="N13" s="865">
        <f t="shared" ref="N13:N24" si="9">L13+M13</f>
        <v>0</v>
      </c>
      <c r="O13" s="864">
        <v>0</v>
      </c>
      <c r="P13" s="865">
        <f t="shared" ref="P13:P24" si="10">O13*22500*0.00001</f>
        <v>0</v>
      </c>
      <c r="Q13" s="865">
        <f t="shared" ref="Q13:Q24" si="11">O13*2500*0.00001</f>
        <v>0</v>
      </c>
      <c r="R13" s="865">
        <f t="shared" ref="R13:R24" si="12">P13+Q13</f>
        <v>0</v>
      </c>
      <c r="S13" s="864">
        <f t="shared" ref="S13:S24" si="13">C13+G13+K13+O13</f>
        <v>0</v>
      </c>
      <c r="T13" s="865">
        <f t="shared" ref="T13:T24" si="14">D13+H13+L13+P13</f>
        <v>0</v>
      </c>
      <c r="U13" s="865">
        <f t="shared" ref="U13:U24" si="15">E13+I13+M13+Q13</f>
        <v>0</v>
      </c>
      <c r="V13" s="865">
        <f t="shared" ref="V13:V24" si="16">T13+U13</f>
        <v>0</v>
      </c>
    </row>
    <row r="14" spans="1:24" ht="15.75" x14ac:dyDescent="0.25">
      <c r="A14" s="626">
        <v>3</v>
      </c>
      <c r="B14" s="867" t="s">
        <v>388</v>
      </c>
      <c r="C14" s="864">
        <v>0</v>
      </c>
      <c r="D14" s="865">
        <f t="shared" si="1"/>
        <v>0</v>
      </c>
      <c r="E14" s="865">
        <f t="shared" si="2"/>
        <v>0</v>
      </c>
      <c r="F14" s="865">
        <f t="shared" si="3"/>
        <v>0</v>
      </c>
      <c r="G14" s="864">
        <v>0</v>
      </c>
      <c r="H14" s="865">
        <f t="shared" si="4"/>
        <v>0</v>
      </c>
      <c r="I14" s="865">
        <f t="shared" si="5"/>
        <v>0</v>
      </c>
      <c r="J14" s="865">
        <f t="shared" si="6"/>
        <v>0</v>
      </c>
      <c r="K14" s="864">
        <v>0</v>
      </c>
      <c r="L14" s="865">
        <f t="shared" si="7"/>
        <v>0</v>
      </c>
      <c r="M14" s="865">
        <f t="shared" si="8"/>
        <v>0</v>
      </c>
      <c r="N14" s="865">
        <f t="shared" si="9"/>
        <v>0</v>
      </c>
      <c r="O14" s="864">
        <v>0</v>
      </c>
      <c r="P14" s="865">
        <f t="shared" si="10"/>
        <v>0</v>
      </c>
      <c r="Q14" s="865">
        <f t="shared" si="11"/>
        <v>0</v>
      </c>
      <c r="R14" s="865">
        <f t="shared" si="12"/>
        <v>0</v>
      </c>
      <c r="S14" s="864">
        <f t="shared" si="13"/>
        <v>0</v>
      </c>
      <c r="T14" s="865">
        <f t="shared" si="14"/>
        <v>0</v>
      </c>
      <c r="U14" s="865">
        <f t="shared" si="15"/>
        <v>0</v>
      </c>
      <c r="V14" s="865">
        <f t="shared" si="16"/>
        <v>0</v>
      </c>
    </row>
    <row r="15" spans="1:24" ht="15.75" x14ac:dyDescent="0.25">
      <c r="A15" s="626">
        <v>4</v>
      </c>
      <c r="B15" s="867" t="s">
        <v>389</v>
      </c>
      <c r="C15" s="864">
        <v>0</v>
      </c>
      <c r="D15" s="865">
        <f t="shared" si="1"/>
        <v>0</v>
      </c>
      <c r="E15" s="865">
        <f t="shared" si="2"/>
        <v>0</v>
      </c>
      <c r="F15" s="865">
        <f t="shared" si="3"/>
        <v>0</v>
      </c>
      <c r="G15" s="864">
        <v>0</v>
      </c>
      <c r="H15" s="865">
        <f t="shared" si="4"/>
        <v>0</v>
      </c>
      <c r="I15" s="865">
        <f t="shared" si="5"/>
        <v>0</v>
      </c>
      <c r="J15" s="865">
        <f t="shared" si="6"/>
        <v>0</v>
      </c>
      <c r="K15" s="864">
        <v>0</v>
      </c>
      <c r="L15" s="865">
        <f t="shared" si="7"/>
        <v>0</v>
      </c>
      <c r="M15" s="865">
        <f t="shared" si="8"/>
        <v>0</v>
      </c>
      <c r="N15" s="865">
        <f t="shared" si="9"/>
        <v>0</v>
      </c>
      <c r="O15" s="864">
        <v>0</v>
      </c>
      <c r="P15" s="865">
        <f t="shared" si="10"/>
        <v>0</v>
      </c>
      <c r="Q15" s="865">
        <f t="shared" si="11"/>
        <v>0</v>
      </c>
      <c r="R15" s="865">
        <f t="shared" si="12"/>
        <v>0</v>
      </c>
      <c r="S15" s="864">
        <f t="shared" si="13"/>
        <v>0</v>
      </c>
      <c r="T15" s="865">
        <f t="shared" si="14"/>
        <v>0</v>
      </c>
      <c r="U15" s="865">
        <f t="shared" si="15"/>
        <v>0</v>
      </c>
      <c r="V15" s="865">
        <f t="shared" si="16"/>
        <v>0</v>
      </c>
    </row>
    <row r="16" spans="1:24" ht="15.75" x14ac:dyDescent="0.25">
      <c r="A16" s="626">
        <v>5</v>
      </c>
      <c r="B16" s="867" t="s">
        <v>390</v>
      </c>
      <c r="C16" s="864">
        <v>0</v>
      </c>
      <c r="D16" s="865">
        <f t="shared" si="1"/>
        <v>0</v>
      </c>
      <c r="E16" s="865">
        <f t="shared" si="2"/>
        <v>0</v>
      </c>
      <c r="F16" s="865">
        <f t="shared" si="3"/>
        <v>0</v>
      </c>
      <c r="G16" s="864">
        <v>0</v>
      </c>
      <c r="H16" s="865">
        <f t="shared" si="4"/>
        <v>0</v>
      </c>
      <c r="I16" s="865">
        <f t="shared" si="5"/>
        <v>0</v>
      </c>
      <c r="J16" s="865">
        <f t="shared" si="6"/>
        <v>0</v>
      </c>
      <c r="K16" s="864">
        <v>1</v>
      </c>
      <c r="L16" s="865">
        <f t="shared" si="7"/>
        <v>0.18000000000000002</v>
      </c>
      <c r="M16" s="865">
        <f t="shared" si="8"/>
        <v>0.02</v>
      </c>
      <c r="N16" s="865">
        <f t="shared" si="9"/>
        <v>0.2</v>
      </c>
      <c r="O16" s="864">
        <v>0</v>
      </c>
      <c r="P16" s="865">
        <f t="shared" si="10"/>
        <v>0</v>
      </c>
      <c r="Q16" s="865">
        <f t="shared" si="11"/>
        <v>0</v>
      </c>
      <c r="R16" s="865">
        <f t="shared" si="12"/>
        <v>0</v>
      </c>
      <c r="S16" s="864">
        <f t="shared" si="13"/>
        <v>1</v>
      </c>
      <c r="T16" s="865">
        <f t="shared" si="14"/>
        <v>0.18000000000000002</v>
      </c>
      <c r="U16" s="865">
        <f t="shared" si="15"/>
        <v>0.02</v>
      </c>
      <c r="V16" s="865">
        <f t="shared" si="16"/>
        <v>0.2</v>
      </c>
    </row>
    <row r="17" spans="1:26" ht="15.75" x14ac:dyDescent="0.25">
      <c r="A17" s="626">
        <v>6</v>
      </c>
      <c r="B17" s="867" t="s">
        <v>391</v>
      </c>
      <c r="C17" s="864">
        <v>0</v>
      </c>
      <c r="D17" s="865">
        <f t="shared" si="1"/>
        <v>0</v>
      </c>
      <c r="E17" s="865">
        <f t="shared" si="2"/>
        <v>0</v>
      </c>
      <c r="F17" s="865">
        <f t="shared" si="3"/>
        <v>0</v>
      </c>
      <c r="G17" s="864">
        <v>11</v>
      </c>
      <c r="H17" s="865">
        <f t="shared" si="4"/>
        <v>1.4850000000000001</v>
      </c>
      <c r="I17" s="865">
        <f t="shared" si="5"/>
        <v>0.16500000000000001</v>
      </c>
      <c r="J17" s="865">
        <f t="shared" si="6"/>
        <v>1.6500000000000001</v>
      </c>
      <c r="K17" s="864">
        <v>6</v>
      </c>
      <c r="L17" s="865">
        <f t="shared" si="7"/>
        <v>1.08</v>
      </c>
      <c r="M17" s="865">
        <f t="shared" si="8"/>
        <v>0.12000000000000001</v>
      </c>
      <c r="N17" s="865">
        <f t="shared" si="9"/>
        <v>1.2000000000000002</v>
      </c>
      <c r="O17" s="864">
        <v>1</v>
      </c>
      <c r="P17" s="865">
        <f t="shared" si="10"/>
        <v>0.22500000000000001</v>
      </c>
      <c r="Q17" s="865">
        <f t="shared" si="11"/>
        <v>2.5000000000000001E-2</v>
      </c>
      <c r="R17" s="865">
        <f t="shared" si="12"/>
        <v>0.25</v>
      </c>
      <c r="S17" s="864">
        <f t="shared" si="13"/>
        <v>18</v>
      </c>
      <c r="T17" s="865">
        <f t="shared" si="14"/>
        <v>2.7900000000000005</v>
      </c>
      <c r="U17" s="865">
        <f t="shared" si="15"/>
        <v>0.31000000000000005</v>
      </c>
      <c r="V17" s="865">
        <f t="shared" si="16"/>
        <v>3.1000000000000005</v>
      </c>
    </row>
    <row r="18" spans="1:26" ht="15.75" x14ac:dyDescent="0.25">
      <c r="A18" s="626">
        <v>7</v>
      </c>
      <c r="B18" s="867" t="s">
        <v>392</v>
      </c>
      <c r="C18" s="864">
        <v>1</v>
      </c>
      <c r="D18" s="865">
        <f t="shared" si="1"/>
        <v>9.0000000000000011E-2</v>
      </c>
      <c r="E18" s="865">
        <f t="shared" si="2"/>
        <v>0.01</v>
      </c>
      <c r="F18" s="865">
        <f t="shared" si="3"/>
        <v>0.1</v>
      </c>
      <c r="G18" s="864">
        <v>0</v>
      </c>
      <c r="H18" s="865">
        <f t="shared" si="4"/>
        <v>0</v>
      </c>
      <c r="I18" s="865">
        <f t="shared" si="5"/>
        <v>0</v>
      </c>
      <c r="J18" s="865">
        <f t="shared" si="6"/>
        <v>0</v>
      </c>
      <c r="K18" s="864">
        <v>0</v>
      </c>
      <c r="L18" s="865">
        <f t="shared" si="7"/>
        <v>0</v>
      </c>
      <c r="M18" s="865">
        <f t="shared" si="8"/>
        <v>0</v>
      </c>
      <c r="N18" s="865">
        <f t="shared" si="9"/>
        <v>0</v>
      </c>
      <c r="O18" s="864">
        <v>0</v>
      </c>
      <c r="P18" s="865">
        <f t="shared" si="10"/>
        <v>0</v>
      </c>
      <c r="Q18" s="865">
        <f t="shared" si="11"/>
        <v>0</v>
      </c>
      <c r="R18" s="865">
        <f t="shared" si="12"/>
        <v>0</v>
      </c>
      <c r="S18" s="864">
        <f t="shared" si="13"/>
        <v>1</v>
      </c>
      <c r="T18" s="865">
        <f t="shared" si="14"/>
        <v>9.0000000000000011E-2</v>
      </c>
      <c r="U18" s="865">
        <f t="shared" si="15"/>
        <v>0.01</v>
      </c>
      <c r="V18" s="865">
        <f t="shared" si="16"/>
        <v>0.1</v>
      </c>
    </row>
    <row r="19" spans="1:26" ht="15.75" x14ac:dyDescent="0.25">
      <c r="A19" s="626">
        <v>8</v>
      </c>
      <c r="B19" s="867" t="s">
        <v>393</v>
      </c>
      <c r="C19" s="864">
        <v>0</v>
      </c>
      <c r="D19" s="865">
        <f t="shared" si="1"/>
        <v>0</v>
      </c>
      <c r="E19" s="865">
        <f t="shared" si="2"/>
        <v>0</v>
      </c>
      <c r="F19" s="865">
        <f t="shared" si="3"/>
        <v>0</v>
      </c>
      <c r="G19" s="864">
        <v>0</v>
      </c>
      <c r="H19" s="865">
        <f t="shared" si="4"/>
        <v>0</v>
      </c>
      <c r="I19" s="865">
        <f t="shared" si="5"/>
        <v>0</v>
      </c>
      <c r="J19" s="865">
        <f t="shared" si="6"/>
        <v>0</v>
      </c>
      <c r="K19" s="864">
        <v>0</v>
      </c>
      <c r="L19" s="865">
        <f t="shared" si="7"/>
        <v>0</v>
      </c>
      <c r="M19" s="865">
        <f t="shared" si="8"/>
        <v>0</v>
      </c>
      <c r="N19" s="865">
        <f t="shared" si="9"/>
        <v>0</v>
      </c>
      <c r="O19" s="864">
        <v>0</v>
      </c>
      <c r="P19" s="865">
        <f t="shared" si="10"/>
        <v>0</v>
      </c>
      <c r="Q19" s="865">
        <f t="shared" si="11"/>
        <v>0</v>
      </c>
      <c r="R19" s="865">
        <f t="shared" si="12"/>
        <v>0</v>
      </c>
      <c r="S19" s="864">
        <f t="shared" si="13"/>
        <v>0</v>
      </c>
      <c r="T19" s="865">
        <f t="shared" si="14"/>
        <v>0</v>
      </c>
      <c r="U19" s="865">
        <f t="shared" si="15"/>
        <v>0</v>
      </c>
      <c r="V19" s="865">
        <f t="shared" si="16"/>
        <v>0</v>
      </c>
      <c r="X19" s="1016" t="s">
        <v>1139</v>
      </c>
      <c r="Z19" s="1016" t="s">
        <v>1140</v>
      </c>
    </row>
    <row r="20" spans="1:26" ht="15.75" x14ac:dyDescent="0.25">
      <c r="A20" s="626">
        <v>9</v>
      </c>
      <c r="B20" s="867" t="s">
        <v>394</v>
      </c>
      <c r="C20" s="864">
        <v>0</v>
      </c>
      <c r="D20" s="865">
        <f t="shared" si="1"/>
        <v>0</v>
      </c>
      <c r="E20" s="865">
        <f t="shared" si="2"/>
        <v>0</v>
      </c>
      <c r="F20" s="865">
        <f t="shared" si="3"/>
        <v>0</v>
      </c>
      <c r="G20" s="864">
        <v>0</v>
      </c>
      <c r="H20" s="865">
        <f t="shared" si="4"/>
        <v>0</v>
      </c>
      <c r="I20" s="865">
        <f t="shared" si="5"/>
        <v>0</v>
      </c>
      <c r="J20" s="865">
        <f t="shared" si="6"/>
        <v>0</v>
      </c>
      <c r="K20" s="864">
        <v>0</v>
      </c>
      <c r="L20" s="865">
        <f t="shared" si="7"/>
        <v>0</v>
      </c>
      <c r="M20" s="865">
        <f t="shared" si="8"/>
        <v>0</v>
      </c>
      <c r="N20" s="865">
        <f t="shared" si="9"/>
        <v>0</v>
      </c>
      <c r="O20" s="864">
        <v>0</v>
      </c>
      <c r="P20" s="865">
        <f t="shared" si="10"/>
        <v>0</v>
      </c>
      <c r="Q20" s="865">
        <f t="shared" si="11"/>
        <v>0</v>
      </c>
      <c r="R20" s="865">
        <f t="shared" si="12"/>
        <v>0</v>
      </c>
      <c r="S20" s="864">
        <f t="shared" si="13"/>
        <v>0</v>
      </c>
      <c r="T20" s="865">
        <f t="shared" si="14"/>
        <v>0</v>
      </c>
      <c r="U20" s="865">
        <f t="shared" si="15"/>
        <v>0</v>
      </c>
      <c r="V20" s="865">
        <f t="shared" si="16"/>
        <v>0</v>
      </c>
      <c r="X20" s="1015">
        <v>10650.34</v>
      </c>
      <c r="Z20" s="1015">
        <v>10650.34</v>
      </c>
    </row>
    <row r="21" spans="1:26" ht="15.75" x14ac:dyDescent="0.25">
      <c r="A21" s="626">
        <v>10</v>
      </c>
      <c r="B21" s="867" t="s">
        <v>395</v>
      </c>
      <c r="C21" s="864">
        <v>0</v>
      </c>
      <c r="D21" s="865">
        <f t="shared" si="1"/>
        <v>0</v>
      </c>
      <c r="E21" s="865">
        <f t="shared" si="2"/>
        <v>0</v>
      </c>
      <c r="F21" s="865">
        <f t="shared" si="3"/>
        <v>0</v>
      </c>
      <c r="G21" s="864">
        <v>0</v>
      </c>
      <c r="H21" s="865">
        <f t="shared" si="4"/>
        <v>0</v>
      </c>
      <c r="I21" s="865">
        <f t="shared" si="5"/>
        <v>0</v>
      </c>
      <c r="J21" s="865">
        <f t="shared" si="6"/>
        <v>0</v>
      </c>
      <c r="K21" s="864">
        <v>0</v>
      </c>
      <c r="L21" s="865">
        <f t="shared" si="7"/>
        <v>0</v>
      </c>
      <c r="M21" s="865">
        <f t="shared" si="8"/>
        <v>0</v>
      </c>
      <c r="N21" s="865">
        <f t="shared" si="9"/>
        <v>0</v>
      </c>
      <c r="O21" s="864">
        <v>0</v>
      </c>
      <c r="P21" s="865">
        <f t="shared" si="10"/>
        <v>0</v>
      </c>
      <c r="Q21" s="865">
        <f t="shared" si="11"/>
        <v>0</v>
      </c>
      <c r="R21" s="865">
        <f t="shared" si="12"/>
        <v>0</v>
      </c>
      <c r="S21" s="864">
        <f t="shared" si="13"/>
        <v>0</v>
      </c>
      <c r="T21" s="865">
        <f t="shared" si="14"/>
        <v>0</v>
      </c>
      <c r="U21" s="865">
        <f t="shared" si="15"/>
        <v>0</v>
      </c>
      <c r="V21" s="865">
        <f t="shared" si="16"/>
        <v>0</v>
      </c>
      <c r="X21" s="1015">
        <v>157.74</v>
      </c>
      <c r="Z21" s="1015"/>
    </row>
    <row r="22" spans="1:26" ht="15.75" x14ac:dyDescent="0.25">
      <c r="A22" s="626">
        <v>11</v>
      </c>
      <c r="B22" s="867" t="s">
        <v>396</v>
      </c>
      <c r="C22" s="864">
        <v>0</v>
      </c>
      <c r="D22" s="865">
        <f t="shared" si="1"/>
        <v>0</v>
      </c>
      <c r="E22" s="865">
        <f t="shared" si="2"/>
        <v>0</v>
      </c>
      <c r="F22" s="865">
        <f t="shared" si="3"/>
        <v>0</v>
      </c>
      <c r="G22" s="864">
        <v>0</v>
      </c>
      <c r="H22" s="865">
        <f t="shared" si="4"/>
        <v>0</v>
      </c>
      <c r="I22" s="865">
        <f t="shared" si="5"/>
        <v>0</v>
      </c>
      <c r="J22" s="865">
        <f t="shared" si="6"/>
        <v>0</v>
      </c>
      <c r="K22" s="864">
        <v>0</v>
      </c>
      <c r="L22" s="865">
        <f t="shared" si="7"/>
        <v>0</v>
      </c>
      <c r="M22" s="865">
        <f t="shared" si="8"/>
        <v>0</v>
      </c>
      <c r="N22" s="865">
        <f t="shared" si="9"/>
        <v>0</v>
      </c>
      <c r="O22" s="864">
        <v>0</v>
      </c>
      <c r="P22" s="865">
        <f t="shared" si="10"/>
        <v>0</v>
      </c>
      <c r="Q22" s="865">
        <f t="shared" si="11"/>
        <v>0</v>
      </c>
      <c r="R22" s="865">
        <f t="shared" si="12"/>
        <v>0</v>
      </c>
      <c r="S22" s="864">
        <f t="shared" si="13"/>
        <v>0</v>
      </c>
      <c r="T22" s="865">
        <f t="shared" si="14"/>
        <v>0</v>
      </c>
      <c r="U22" s="865">
        <f t="shared" si="15"/>
        <v>0</v>
      </c>
      <c r="V22" s="865">
        <f t="shared" si="16"/>
        <v>0</v>
      </c>
      <c r="X22" s="1015">
        <v>430.92</v>
      </c>
      <c r="Z22" s="1015">
        <v>430.92</v>
      </c>
    </row>
    <row r="23" spans="1:26" ht="15.75" x14ac:dyDescent="0.25">
      <c r="A23" s="626">
        <v>12</v>
      </c>
      <c r="B23" s="867" t="s">
        <v>397</v>
      </c>
      <c r="C23" s="864">
        <v>6</v>
      </c>
      <c r="D23" s="865">
        <f t="shared" si="1"/>
        <v>0.54</v>
      </c>
      <c r="E23" s="865">
        <f t="shared" si="2"/>
        <v>6.0000000000000005E-2</v>
      </c>
      <c r="F23" s="865">
        <f t="shared" si="3"/>
        <v>0.60000000000000009</v>
      </c>
      <c r="G23" s="864">
        <v>8</v>
      </c>
      <c r="H23" s="865">
        <f t="shared" si="4"/>
        <v>1.08</v>
      </c>
      <c r="I23" s="865">
        <f t="shared" si="5"/>
        <v>0.12000000000000001</v>
      </c>
      <c r="J23" s="865">
        <f t="shared" si="6"/>
        <v>1.2000000000000002</v>
      </c>
      <c r="K23" s="864">
        <v>5</v>
      </c>
      <c r="L23" s="865">
        <f t="shared" si="7"/>
        <v>0.9</v>
      </c>
      <c r="M23" s="865">
        <f t="shared" si="8"/>
        <v>0.1</v>
      </c>
      <c r="N23" s="865">
        <f t="shared" si="9"/>
        <v>1</v>
      </c>
      <c r="O23" s="864">
        <v>1</v>
      </c>
      <c r="P23" s="865">
        <f t="shared" si="10"/>
        <v>0.22500000000000001</v>
      </c>
      <c r="Q23" s="865">
        <f t="shared" si="11"/>
        <v>2.5000000000000001E-2</v>
      </c>
      <c r="R23" s="865">
        <f t="shared" si="12"/>
        <v>0.25</v>
      </c>
      <c r="S23" s="864">
        <f t="shared" si="13"/>
        <v>20</v>
      </c>
      <c r="T23" s="865">
        <f t="shared" si="14"/>
        <v>2.7450000000000001</v>
      </c>
      <c r="U23" s="865">
        <f t="shared" si="15"/>
        <v>0.30500000000000005</v>
      </c>
      <c r="V23" s="865">
        <f t="shared" si="16"/>
        <v>3.0500000000000003</v>
      </c>
      <c r="X23" s="1015">
        <v>5.81</v>
      </c>
      <c r="Z23" s="1015">
        <v>5.81</v>
      </c>
    </row>
    <row r="24" spans="1:26" ht="15.75" x14ac:dyDescent="0.25">
      <c r="A24" s="626">
        <v>13</v>
      </c>
      <c r="B24" s="867" t="s">
        <v>398</v>
      </c>
      <c r="C24" s="864">
        <v>0</v>
      </c>
      <c r="D24" s="865">
        <f t="shared" si="1"/>
        <v>0</v>
      </c>
      <c r="E24" s="865">
        <f t="shared" si="2"/>
        <v>0</v>
      </c>
      <c r="F24" s="865">
        <f t="shared" si="3"/>
        <v>0</v>
      </c>
      <c r="G24" s="864">
        <v>0</v>
      </c>
      <c r="H24" s="865">
        <f t="shared" si="4"/>
        <v>0</v>
      </c>
      <c r="I24" s="865">
        <f t="shared" si="5"/>
        <v>0</v>
      </c>
      <c r="J24" s="865">
        <f t="shared" si="6"/>
        <v>0</v>
      </c>
      <c r="K24" s="864">
        <v>0</v>
      </c>
      <c r="L24" s="865">
        <f t="shared" si="7"/>
        <v>0</v>
      </c>
      <c r="M24" s="865">
        <f t="shared" si="8"/>
        <v>0</v>
      </c>
      <c r="N24" s="865">
        <f t="shared" si="9"/>
        <v>0</v>
      </c>
      <c r="O24" s="864">
        <v>0</v>
      </c>
      <c r="P24" s="865">
        <f t="shared" si="10"/>
        <v>0</v>
      </c>
      <c r="Q24" s="865">
        <f t="shared" si="11"/>
        <v>0</v>
      </c>
      <c r="R24" s="865">
        <f t="shared" si="12"/>
        <v>0</v>
      </c>
      <c r="S24" s="864">
        <f t="shared" si="13"/>
        <v>0</v>
      </c>
      <c r="T24" s="865">
        <f t="shared" si="14"/>
        <v>0</v>
      </c>
      <c r="U24" s="865">
        <f t="shared" si="15"/>
        <v>0</v>
      </c>
      <c r="V24" s="865">
        <f t="shared" si="16"/>
        <v>0</v>
      </c>
      <c r="X24" s="1015">
        <v>1102.6400000000001</v>
      </c>
      <c r="Z24" s="1015">
        <v>1102.6400000000001</v>
      </c>
    </row>
    <row r="25" spans="1:26" ht="15.75" x14ac:dyDescent="0.25">
      <c r="A25" s="630"/>
      <c r="B25" s="868" t="s">
        <v>18</v>
      </c>
      <c r="C25" s="870">
        <f t="shared" ref="C25:F25" si="17">SUM(C12:C24)</f>
        <v>7</v>
      </c>
      <c r="D25" s="869">
        <f t="shared" si="17"/>
        <v>0.63</v>
      </c>
      <c r="E25" s="869">
        <f t="shared" si="17"/>
        <v>7.0000000000000007E-2</v>
      </c>
      <c r="F25" s="869">
        <f t="shared" si="17"/>
        <v>0.70000000000000007</v>
      </c>
      <c r="G25" s="870">
        <f t="shared" ref="G25:J25" si="18">SUM(G12:G24)</f>
        <v>19</v>
      </c>
      <c r="H25" s="869">
        <f t="shared" si="18"/>
        <v>2.5650000000000004</v>
      </c>
      <c r="I25" s="869">
        <f t="shared" si="18"/>
        <v>0.28500000000000003</v>
      </c>
      <c r="J25" s="869">
        <f t="shared" si="18"/>
        <v>2.8500000000000005</v>
      </c>
      <c r="K25" s="870">
        <f t="shared" ref="K25:N25" si="19">SUM(K12:K24)</f>
        <v>12</v>
      </c>
      <c r="L25" s="869">
        <f t="shared" si="19"/>
        <v>2.16</v>
      </c>
      <c r="M25" s="869">
        <f t="shared" si="19"/>
        <v>0.24000000000000002</v>
      </c>
      <c r="N25" s="869">
        <f t="shared" si="19"/>
        <v>2.4000000000000004</v>
      </c>
      <c r="O25" s="870">
        <f t="shared" ref="O25:R25" si="20">SUM(O12:O24)</f>
        <v>2</v>
      </c>
      <c r="P25" s="869">
        <f t="shared" si="20"/>
        <v>0.45</v>
      </c>
      <c r="Q25" s="869">
        <f t="shared" si="20"/>
        <v>0.05</v>
      </c>
      <c r="R25" s="869">
        <f t="shared" si="20"/>
        <v>0.5</v>
      </c>
      <c r="S25" s="870">
        <f>SUM(S12:S24)</f>
        <v>40</v>
      </c>
      <c r="T25" s="869">
        <f>SUM(T12:T24)</f>
        <v>5.8050000000000006</v>
      </c>
      <c r="U25" s="869">
        <f>SUM(U12:U24)</f>
        <v>0.64500000000000013</v>
      </c>
      <c r="V25" s="869">
        <f>SUM(V12:V24)</f>
        <v>6.4500000000000011</v>
      </c>
      <c r="X25" s="1015">
        <f>SUM(X20:X24)</f>
        <v>12347.449999999999</v>
      </c>
      <c r="Z25" s="1015">
        <f>SUM(Z20:Z24)</f>
        <v>12189.71</v>
      </c>
    </row>
    <row r="26" spans="1:26" ht="15.75" x14ac:dyDescent="0.25">
      <c r="X26" s="1015"/>
    </row>
    <row r="31" spans="1:26" s="795" customFormat="1" ht="12.75" x14ac:dyDescent="0.2">
      <c r="A31" s="11" t="s">
        <v>11</v>
      </c>
      <c r="G31" s="11"/>
      <c r="H31" s="11"/>
      <c r="K31" s="11"/>
      <c r="L31" s="11"/>
      <c r="M31" s="11"/>
      <c r="N31" s="11"/>
      <c r="O31" s="11"/>
      <c r="P31" s="11"/>
      <c r="Q31" s="11"/>
      <c r="R31" s="11"/>
      <c r="S31" s="794"/>
      <c r="T31" s="1073" t="s">
        <v>12</v>
      </c>
      <c r="U31" s="1073"/>
      <c r="V31" s="794"/>
    </row>
    <row r="32" spans="1:26" s="795" customFormat="1" ht="12.75" customHeight="1" x14ac:dyDescent="0.2">
      <c r="K32" s="1473" t="s">
        <v>13</v>
      </c>
      <c r="L32" s="1473"/>
      <c r="M32" s="1473"/>
      <c r="N32" s="1473"/>
      <c r="O32" s="1473"/>
      <c r="P32" s="1473"/>
      <c r="Q32" s="1473"/>
      <c r="R32" s="1473"/>
      <c r="S32" s="1473"/>
      <c r="T32" s="1473"/>
      <c r="U32" s="1473"/>
      <c r="V32" s="1473"/>
    </row>
    <row r="33" spans="1:22" s="795" customFormat="1" ht="12.75" customHeight="1" x14ac:dyDescent="0.2">
      <c r="J33" s="1473" t="s">
        <v>87</v>
      </c>
      <c r="K33" s="1473"/>
      <c r="L33" s="1473"/>
      <c r="M33" s="1473"/>
      <c r="N33" s="1473"/>
      <c r="O33" s="1473"/>
      <c r="P33" s="1473"/>
      <c r="Q33" s="1473"/>
      <c r="R33" s="1473"/>
      <c r="S33" s="1473"/>
      <c r="T33" s="1473"/>
      <c r="U33" s="1473"/>
      <c r="V33" s="1473"/>
    </row>
    <row r="34" spans="1:22" s="795" customFormat="1" ht="12.75" x14ac:dyDescent="0.2">
      <c r="A34" s="11"/>
      <c r="B34" s="11"/>
      <c r="K34" s="11"/>
      <c r="L34" s="11"/>
      <c r="M34" s="11"/>
      <c r="N34" s="11"/>
      <c r="O34" s="11"/>
      <c r="P34" s="11"/>
      <c r="Q34" s="1037" t="s">
        <v>84</v>
      </c>
      <c r="R34" s="1037"/>
      <c r="S34" s="1037"/>
      <c r="T34" s="1037"/>
      <c r="U34" s="1037"/>
      <c r="V34" s="1037"/>
    </row>
  </sheetData>
  <mergeCells count="24">
    <mergeCell ref="J33:V33"/>
    <mergeCell ref="Q34:V34"/>
    <mergeCell ref="A4:V4"/>
    <mergeCell ref="O9:O10"/>
    <mergeCell ref="P9:R9"/>
    <mergeCell ref="S9:S10"/>
    <mergeCell ref="T9:V9"/>
    <mergeCell ref="T31:U31"/>
    <mergeCell ref="K32:V32"/>
    <mergeCell ref="C9:C10"/>
    <mergeCell ref="D9:F9"/>
    <mergeCell ref="G9:G10"/>
    <mergeCell ref="H9:J9"/>
    <mergeCell ref="K9:K10"/>
    <mergeCell ref="L9:N9"/>
    <mergeCell ref="U1:V1"/>
    <mergeCell ref="E2:P2"/>
    <mergeCell ref="A8:A10"/>
    <mergeCell ref="B8:B10"/>
    <mergeCell ref="C8:F8"/>
    <mergeCell ref="G8:J8"/>
    <mergeCell ref="K8:N8"/>
    <mergeCell ref="O8:R8"/>
    <mergeCell ref="S8:V8"/>
  </mergeCells>
  <printOptions horizontalCentered="1"/>
  <pageMargins left="0.70866141732283472" right="0.70866141732283472" top="0.23622047244094491" bottom="0" header="0.31496062992125984" footer="0.31496062992125984"/>
  <pageSetup paperSize="9" scale="6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5" tint="0.39997558519241921"/>
    <pageSetUpPr fitToPage="1"/>
  </sheetPr>
  <dimension ref="A1:W34"/>
  <sheetViews>
    <sheetView view="pageBreakPreview" topLeftCell="A7" zoomScale="90" zoomScaleNormal="90" zoomScaleSheetLayoutView="90" workbookViewId="0">
      <selection activeCell="S25" sqref="S25"/>
    </sheetView>
  </sheetViews>
  <sheetFormatPr defaultRowHeight="12.75" x14ac:dyDescent="0.2"/>
  <cols>
    <col min="1" max="19" width="9.140625" style="967"/>
    <col min="20" max="20" width="10.140625" style="967" customWidth="1"/>
    <col min="21" max="16384" width="9.140625" style="967"/>
  </cols>
  <sheetData>
    <row r="1" spans="1:23" ht="15.75" x14ac:dyDescent="0.25">
      <c r="A1" s="983"/>
      <c r="B1" s="983"/>
      <c r="C1" s="984"/>
      <c r="D1" s="984"/>
      <c r="E1" s="984"/>
      <c r="F1" s="984"/>
      <c r="G1" s="984"/>
      <c r="H1" s="984"/>
      <c r="I1" s="985" t="s">
        <v>0</v>
      </c>
      <c r="J1" s="985"/>
      <c r="K1" s="983"/>
      <c r="L1" s="983"/>
      <c r="M1" s="983"/>
      <c r="N1" s="983"/>
      <c r="O1" s="983"/>
      <c r="P1" s="983"/>
      <c r="Q1" s="983"/>
      <c r="R1" s="983"/>
      <c r="S1" s="986"/>
      <c r="T1" s="986"/>
      <c r="U1" s="1521" t="s">
        <v>857</v>
      </c>
      <c r="V1" s="1521"/>
      <c r="W1" s="987"/>
    </row>
    <row r="2" spans="1:23" ht="20.25" x14ac:dyDescent="0.3">
      <c r="A2" s="1524" t="s">
        <v>788</v>
      </c>
      <c r="B2" s="1524"/>
      <c r="C2" s="1524"/>
      <c r="D2" s="1524"/>
      <c r="E2" s="1524"/>
      <c r="F2" s="1524"/>
      <c r="G2" s="1524"/>
      <c r="H2" s="1524"/>
      <c r="I2" s="1524"/>
      <c r="J2" s="1524"/>
      <c r="K2" s="1524"/>
      <c r="L2" s="1524"/>
      <c r="M2" s="1524"/>
      <c r="N2" s="1524"/>
      <c r="O2" s="1524"/>
      <c r="P2" s="1524"/>
      <c r="Q2" s="1524"/>
      <c r="R2" s="1524"/>
      <c r="S2" s="1524"/>
      <c r="T2" s="1524"/>
      <c r="U2" s="1524"/>
      <c r="V2" s="1524"/>
      <c r="W2" s="983"/>
    </row>
    <row r="3" spans="1:23" ht="20.25" x14ac:dyDescent="0.3">
      <c r="A3" s="983"/>
      <c r="B3" s="983"/>
      <c r="C3" s="983"/>
      <c r="D3" s="983"/>
      <c r="E3" s="983"/>
      <c r="F3" s="983"/>
      <c r="G3" s="983"/>
      <c r="H3" s="988"/>
      <c r="I3" s="988"/>
      <c r="J3" s="988"/>
      <c r="K3" s="988"/>
      <c r="L3" s="988"/>
      <c r="M3" s="988"/>
      <c r="N3" s="988"/>
      <c r="O3" s="988"/>
      <c r="P3" s="988"/>
      <c r="Q3" s="983"/>
      <c r="R3" s="983"/>
      <c r="S3" s="983"/>
      <c r="T3" s="983"/>
      <c r="U3" s="983"/>
      <c r="V3" s="983"/>
      <c r="W3" s="983"/>
    </row>
    <row r="4" spans="1:23" ht="15.75" x14ac:dyDescent="0.25">
      <c r="A4" s="1525" t="s">
        <v>858</v>
      </c>
      <c r="B4" s="1525"/>
      <c r="C4" s="1525"/>
      <c r="D4" s="1525"/>
      <c r="E4" s="1525"/>
      <c r="F4" s="1525"/>
      <c r="G4" s="1525"/>
      <c r="H4" s="1525"/>
      <c r="I4" s="1525"/>
      <c r="J4" s="1525"/>
      <c r="K4" s="1525"/>
      <c r="L4" s="1525"/>
      <c r="M4" s="1525"/>
      <c r="N4" s="1525"/>
      <c r="O4" s="1525"/>
      <c r="P4" s="1525"/>
      <c r="Q4" s="1525"/>
      <c r="R4" s="1525"/>
      <c r="S4" s="1525"/>
      <c r="T4" s="1525"/>
      <c r="U4" s="1525"/>
      <c r="V4" s="1525"/>
      <c r="W4" s="985"/>
    </row>
    <row r="5" spans="1:23" ht="15" x14ac:dyDescent="0.25">
      <c r="A5" s="989"/>
      <c r="B5" s="989"/>
      <c r="C5" s="808"/>
      <c r="D5" s="808"/>
      <c r="E5" s="808"/>
      <c r="F5" s="808"/>
      <c r="G5" s="808"/>
      <c r="H5" s="808"/>
      <c r="I5" s="989"/>
      <c r="J5" s="989"/>
      <c r="K5" s="989"/>
      <c r="L5" s="989"/>
      <c r="M5" s="808"/>
      <c r="N5" s="808"/>
      <c r="O5" s="808"/>
      <c r="P5" s="808"/>
      <c r="Q5" s="808"/>
      <c r="R5" s="808"/>
      <c r="S5" s="808"/>
      <c r="T5" s="808"/>
      <c r="U5" s="808"/>
      <c r="V5" s="808"/>
      <c r="W5" s="808"/>
    </row>
    <row r="6" spans="1:23" ht="15" x14ac:dyDescent="0.25">
      <c r="A6" s="822" t="s">
        <v>850</v>
      </c>
      <c r="B6" s="810"/>
      <c r="C6" s="989"/>
      <c r="D6" s="989"/>
      <c r="E6" s="989"/>
      <c r="F6" s="989"/>
      <c r="G6" s="989"/>
      <c r="H6" s="989"/>
      <c r="I6" s="989"/>
      <c r="J6" s="989"/>
      <c r="K6" s="989"/>
      <c r="L6" s="989"/>
      <c r="M6" s="989"/>
      <c r="N6" s="989"/>
      <c r="O6" s="989"/>
      <c r="P6" s="989"/>
      <c r="Q6" s="989"/>
      <c r="R6" s="989"/>
      <c r="S6" s="989"/>
      <c r="T6" s="989"/>
      <c r="U6" s="989"/>
      <c r="V6" s="989"/>
      <c r="W6" s="989"/>
    </row>
    <row r="7" spans="1:23" ht="15" x14ac:dyDescent="0.25">
      <c r="A7" s="989"/>
      <c r="B7" s="811"/>
      <c r="C7" s="989"/>
      <c r="D7" s="989"/>
      <c r="E7" s="989"/>
      <c r="F7" s="989"/>
      <c r="G7" s="989"/>
      <c r="H7" s="989"/>
      <c r="I7" s="989"/>
      <c r="J7" s="989"/>
      <c r="K7" s="989"/>
      <c r="L7" s="989"/>
      <c r="M7" s="989"/>
      <c r="N7" s="989"/>
      <c r="O7" s="989"/>
      <c r="P7" s="989"/>
      <c r="Q7" s="989"/>
      <c r="R7" s="989"/>
      <c r="S7" s="989"/>
      <c r="T7" s="989"/>
      <c r="U7" s="989"/>
      <c r="V7" s="989"/>
      <c r="W7" s="989"/>
    </row>
    <row r="8" spans="1:23" ht="15" x14ac:dyDescent="0.25">
      <c r="A8" s="1522" t="s">
        <v>2</v>
      </c>
      <c r="B8" s="1510" t="s">
        <v>3</v>
      </c>
      <c r="C8" s="1511" t="s">
        <v>851</v>
      </c>
      <c r="D8" s="1512"/>
      <c r="E8" s="1512"/>
      <c r="F8" s="1512"/>
      <c r="G8" s="1511" t="s">
        <v>852</v>
      </c>
      <c r="H8" s="1512"/>
      <c r="I8" s="1512"/>
      <c r="J8" s="1512"/>
      <c r="K8" s="1511" t="s">
        <v>853</v>
      </c>
      <c r="L8" s="1512"/>
      <c r="M8" s="1512"/>
      <c r="N8" s="1512"/>
      <c r="O8" s="1511" t="s">
        <v>854</v>
      </c>
      <c r="P8" s="1512"/>
      <c r="Q8" s="1512"/>
      <c r="R8" s="1512"/>
      <c r="S8" s="1513" t="s">
        <v>18</v>
      </c>
      <c r="T8" s="1514"/>
      <c r="U8" s="1514"/>
      <c r="V8" s="1514"/>
      <c r="W8" s="822"/>
    </row>
    <row r="9" spans="1:23" ht="15" x14ac:dyDescent="0.25">
      <c r="A9" s="1522"/>
      <c r="B9" s="1510"/>
      <c r="C9" s="1516" t="s">
        <v>855</v>
      </c>
      <c r="D9" s="1518" t="s">
        <v>856</v>
      </c>
      <c r="E9" s="1519"/>
      <c r="F9" s="1520"/>
      <c r="G9" s="1516" t="s">
        <v>855</v>
      </c>
      <c r="H9" s="1518" t="s">
        <v>856</v>
      </c>
      <c r="I9" s="1519"/>
      <c r="J9" s="1520"/>
      <c r="K9" s="1516" t="s">
        <v>855</v>
      </c>
      <c r="L9" s="1518" t="s">
        <v>856</v>
      </c>
      <c r="M9" s="1519"/>
      <c r="N9" s="1520"/>
      <c r="O9" s="1516" t="s">
        <v>855</v>
      </c>
      <c r="P9" s="1518" t="s">
        <v>856</v>
      </c>
      <c r="Q9" s="1519"/>
      <c r="R9" s="1520"/>
      <c r="S9" s="1516" t="s">
        <v>855</v>
      </c>
      <c r="T9" s="1518" t="s">
        <v>856</v>
      </c>
      <c r="U9" s="1519"/>
      <c r="V9" s="1520"/>
      <c r="W9" s="812"/>
    </row>
    <row r="10" spans="1:23" ht="30" x14ac:dyDescent="0.25">
      <c r="A10" s="1522"/>
      <c r="B10" s="1510"/>
      <c r="C10" s="1517"/>
      <c r="D10" s="871" t="s">
        <v>218</v>
      </c>
      <c r="E10" s="871" t="s">
        <v>219</v>
      </c>
      <c r="F10" s="871" t="s">
        <v>18</v>
      </c>
      <c r="G10" s="1517"/>
      <c r="H10" s="871" t="s">
        <v>218</v>
      </c>
      <c r="I10" s="871" t="s">
        <v>219</v>
      </c>
      <c r="J10" s="871" t="s">
        <v>18</v>
      </c>
      <c r="K10" s="1517"/>
      <c r="L10" s="871" t="s">
        <v>218</v>
      </c>
      <c r="M10" s="871" t="s">
        <v>219</v>
      </c>
      <c r="N10" s="871" t="s">
        <v>18</v>
      </c>
      <c r="O10" s="1517"/>
      <c r="P10" s="871" t="s">
        <v>218</v>
      </c>
      <c r="Q10" s="871" t="s">
        <v>219</v>
      </c>
      <c r="R10" s="871" t="s">
        <v>18</v>
      </c>
      <c r="S10" s="1517"/>
      <c r="T10" s="871" t="s">
        <v>218</v>
      </c>
      <c r="U10" s="871" t="s">
        <v>219</v>
      </c>
      <c r="V10" s="871" t="s">
        <v>18</v>
      </c>
      <c r="W10" s="812"/>
    </row>
    <row r="11" spans="1:23" ht="15" x14ac:dyDescent="0.25">
      <c r="A11" s="990">
        <v>1</v>
      </c>
      <c r="B11" s="872">
        <v>2</v>
      </c>
      <c r="C11" s="872">
        <v>3</v>
      </c>
      <c r="D11" s="990">
        <v>4</v>
      </c>
      <c r="E11" s="872">
        <v>5</v>
      </c>
      <c r="F11" s="872">
        <v>6</v>
      </c>
      <c r="G11" s="990">
        <v>7</v>
      </c>
      <c r="H11" s="872">
        <v>8</v>
      </c>
      <c r="I11" s="872">
        <v>9</v>
      </c>
      <c r="J11" s="990">
        <v>10</v>
      </c>
      <c r="K11" s="872">
        <v>11</v>
      </c>
      <c r="L11" s="872">
        <v>12</v>
      </c>
      <c r="M11" s="990">
        <v>13</v>
      </c>
      <c r="N11" s="872">
        <v>14</v>
      </c>
      <c r="O11" s="872">
        <v>15</v>
      </c>
      <c r="P11" s="990">
        <v>16</v>
      </c>
      <c r="Q11" s="872">
        <v>17</v>
      </c>
      <c r="R11" s="872">
        <v>18</v>
      </c>
      <c r="S11" s="990">
        <v>19</v>
      </c>
      <c r="T11" s="872">
        <v>20</v>
      </c>
      <c r="U11" s="872">
        <v>21</v>
      </c>
      <c r="V11" s="990">
        <v>22</v>
      </c>
      <c r="W11" s="825"/>
    </row>
    <row r="12" spans="1:23" ht="15" x14ac:dyDescent="0.2">
      <c r="A12" s="626">
        <v>1</v>
      </c>
      <c r="B12" s="627" t="s">
        <v>386</v>
      </c>
      <c r="C12" s="991">
        <v>976</v>
      </c>
      <c r="D12" s="992">
        <v>87.84</v>
      </c>
      <c r="E12" s="992">
        <v>9.7600000000000016</v>
      </c>
      <c r="F12" s="992">
        <v>97.600000000000009</v>
      </c>
      <c r="G12" s="991">
        <v>132</v>
      </c>
      <c r="H12" s="992">
        <v>17.82</v>
      </c>
      <c r="I12" s="992">
        <v>1.9800000000000002</v>
      </c>
      <c r="J12" s="992">
        <v>19.8</v>
      </c>
      <c r="K12" s="991">
        <v>0</v>
      </c>
      <c r="L12" s="992">
        <v>0</v>
      </c>
      <c r="M12" s="992">
        <v>0</v>
      </c>
      <c r="N12" s="992">
        <v>0</v>
      </c>
      <c r="O12" s="991">
        <v>0</v>
      </c>
      <c r="P12" s="992">
        <v>0</v>
      </c>
      <c r="Q12" s="992">
        <v>0</v>
      </c>
      <c r="R12" s="992">
        <v>0</v>
      </c>
      <c r="S12" s="991">
        <v>1108</v>
      </c>
      <c r="T12" s="992">
        <v>105.66</v>
      </c>
      <c r="U12" s="992">
        <v>11.740000000000002</v>
      </c>
      <c r="V12" s="992">
        <v>117.4</v>
      </c>
      <c r="W12" s="989"/>
    </row>
    <row r="13" spans="1:23" ht="15" x14ac:dyDescent="0.2">
      <c r="A13" s="626">
        <v>2</v>
      </c>
      <c r="B13" s="627" t="s">
        <v>387</v>
      </c>
      <c r="C13" s="991">
        <v>383</v>
      </c>
      <c r="D13" s="992">
        <v>34.470000000000006</v>
      </c>
      <c r="E13" s="992">
        <v>3.8300000000000005</v>
      </c>
      <c r="F13" s="992">
        <v>38.300000000000004</v>
      </c>
      <c r="G13" s="991">
        <v>67</v>
      </c>
      <c r="H13" s="992">
        <v>9.0449999999999999</v>
      </c>
      <c r="I13" s="992">
        <v>1.0050000000000001</v>
      </c>
      <c r="J13" s="992">
        <v>10.050000000000001</v>
      </c>
      <c r="K13" s="991">
        <v>3</v>
      </c>
      <c r="L13" s="992">
        <v>0.54</v>
      </c>
      <c r="M13" s="992">
        <v>6.0000000000000005E-2</v>
      </c>
      <c r="N13" s="992">
        <v>0.60000000000000009</v>
      </c>
      <c r="O13" s="991">
        <v>0</v>
      </c>
      <c r="P13" s="992">
        <v>0</v>
      </c>
      <c r="Q13" s="992">
        <v>0</v>
      </c>
      <c r="R13" s="992">
        <v>0</v>
      </c>
      <c r="S13" s="991">
        <v>453</v>
      </c>
      <c r="T13" s="992">
        <v>44.055000000000007</v>
      </c>
      <c r="U13" s="992">
        <v>4.8950000000000005</v>
      </c>
      <c r="V13" s="992">
        <v>48.95000000000001</v>
      </c>
      <c r="W13" s="989"/>
    </row>
    <row r="14" spans="1:23" ht="15" x14ac:dyDescent="0.2">
      <c r="A14" s="626">
        <v>3</v>
      </c>
      <c r="B14" s="627" t="s">
        <v>388</v>
      </c>
      <c r="C14" s="991">
        <v>657</v>
      </c>
      <c r="D14" s="992">
        <v>59.13</v>
      </c>
      <c r="E14" s="992">
        <v>6.57</v>
      </c>
      <c r="F14" s="992">
        <v>65.7</v>
      </c>
      <c r="G14" s="991">
        <v>73</v>
      </c>
      <c r="H14" s="992">
        <v>9.8550000000000004</v>
      </c>
      <c r="I14" s="992">
        <v>1.0950000000000002</v>
      </c>
      <c r="J14" s="992">
        <v>10.950000000000001</v>
      </c>
      <c r="K14" s="991">
        <v>0</v>
      </c>
      <c r="L14" s="992">
        <v>0</v>
      </c>
      <c r="M14" s="992">
        <v>0</v>
      </c>
      <c r="N14" s="992">
        <v>0</v>
      </c>
      <c r="O14" s="991">
        <v>0</v>
      </c>
      <c r="P14" s="992">
        <v>0</v>
      </c>
      <c r="Q14" s="992">
        <v>0</v>
      </c>
      <c r="R14" s="992">
        <v>0</v>
      </c>
      <c r="S14" s="991">
        <v>730</v>
      </c>
      <c r="T14" s="992">
        <v>68.984999999999999</v>
      </c>
      <c r="U14" s="992">
        <v>7.6650000000000009</v>
      </c>
      <c r="V14" s="992">
        <v>76.650000000000006</v>
      </c>
      <c r="W14" s="989"/>
    </row>
    <row r="15" spans="1:23" ht="15" x14ac:dyDescent="0.2">
      <c r="A15" s="626">
        <v>4</v>
      </c>
      <c r="B15" s="627" t="s">
        <v>389</v>
      </c>
      <c r="C15" s="991">
        <v>292</v>
      </c>
      <c r="D15" s="992">
        <v>26.28</v>
      </c>
      <c r="E15" s="992">
        <v>2.9200000000000004</v>
      </c>
      <c r="F15" s="992">
        <v>29.200000000000003</v>
      </c>
      <c r="G15" s="991">
        <v>65</v>
      </c>
      <c r="H15" s="992">
        <v>8.7750000000000004</v>
      </c>
      <c r="I15" s="992">
        <v>0.97500000000000009</v>
      </c>
      <c r="J15" s="992">
        <v>9.75</v>
      </c>
      <c r="K15" s="991">
        <v>7</v>
      </c>
      <c r="L15" s="992">
        <v>1.26</v>
      </c>
      <c r="M15" s="992">
        <v>0.14000000000000001</v>
      </c>
      <c r="N15" s="992">
        <v>1.4</v>
      </c>
      <c r="O15" s="991">
        <v>3</v>
      </c>
      <c r="P15" s="992">
        <v>0.67500000000000004</v>
      </c>
      <c r="Q15" s="992">
        <v>7.5000000000000011E-2</v>
      </c>
      <c r="R15" s="992">
        <v>0.75</v>
      </c>
      <c r="S15" s="991">
        <v>367</v>
      </c>
      <c r="T15" s="992">
        <v>36.989999999999995</v>
      </c>
      <c r="U15" s="992">
        <v>4.1100000000000003</v>
      </c>
      <c r="V15" s="992">
        <v>41.099999999999994</v>
      </c>
      <c r="W15" s="989"/>
    </row>
    <row r="16" spans="1:23" ht="15" x14ac:dyDescent="0.2">
      <c r="A16" s="626">
        <v>5</v>
      </c>
      <c r="B16" s="627" t="s">
        <v>390</v>
      </c>
      <c r="C16" s="991">
        <v>401</v>
      </c>
      <c r="D16" s="992">
        <v>36.090000000000003</v>
      </c>
      <c r="E16" s="992">
        <v>4.0100000000000007</v>
      </c>
      <c r="F16" s="992">
        <v>40.1</v>
      </c>
      <c r="G16" s="991">
        <v>357</v>
      </c>
      <c r="H16" s="992">
        <v>48.195000000000007</v>
      </c>
      <c r="I16" s="992">
        <v>5.3550000000000004</v>
      </c>
      <c r="J16" s="992">
        <v>53.550000000000011</v>
      </c>
      <c r="K16" s="991">
        <v>103</v>
      </c>
      <c r="L16" s="992">
        <v>18.540000000000003</v>
      </c>
      <c r="M16" s="992">
        <v>2.06</v>
      </c>
      <c r="N16" s="992">
        <v>20.6</v>
      </c>
      <c r="O16" s="991">
        <v>26</v>
      </c>
      <c r="P16" s="992">
        <v>5.8500000000000005</v>
      </c>
      <c r="Q16" s="992">
        <v>0.65</v>
      </c>
      <c r="R16" s="992">
        <v>6.5000000000000009</v>
      </c>
      <c r="S16" s="991">
        <v>887</v>
      </c>
      <c r="T16" s="992">
        <v>108.67500000000001</v>
      </c>
      <c r="U16" s="992">
        <v>12.075000000000003</v>
      </c>
      <c r="V16" s="992">
        <v>120.75000000000001</v>
      </c>
      <c r="W16" s="989"/>
    </row>
    <row r="17" spans="1:22" ht="15" x14ac:dyDescent="0.2">
      <c r="A17" s="626">
        <v>6</v>
      </c>
      <c r="B17" s="627" t="s">
        <v>391</v>
      </c>
      <c r="C17" s="991">
        <v>103</v>
      </c>
      <c r="D17" s="992">
        <v>9.2700000000000014</v>
      </c>
      <c r="E17" s="992">
        <v>1.03</v>
      </c>
      <c r="F17" s="992">
        <v>10.3</v>
      </c>
      <c r="G17" s="991">
        <v>564</v>
      </c>
      <c r="H17" s="992">
        <v>76.14</v>
      </c>
      <c r="I17" s="992">
        <v>8.4600000000000009</v>
      </c>
      <c r="J17" s="992">
        <v>84.6</v>
      </c>
      <c r="K17" s="991">
        <v>134</v>
      </c>
      <c r="L17" s="992">
        <v>24.12</v>
      </c>
      <c r="M17" s="992">
        <v>2.68</v>
      </c>
      <c r="N17" s="992">
        <v>26.8</v>
      </c>
      <c r="O17" s="991">
        <v>9</v>
      </c>
      <c r="P17" s="992">
        <v>2.0250000000000004</v>
      </c>
      <c r="Q17" s="992">
        <v>0.22500000000000001</v>
      </c>
      <c r="R17" s="992">
        <v>2.2500000000000004</v>
      </c>
      <c r="S17" s="991">
        <v>810</v>
      </c>
      <c r="T17" s="992">
        <v>111.55500000000001</v>
      </c>
      <c r="U17" s="992">
        <v>12.395</v>
      </c>
      <c r="V17" s="992">
        <v>123.95</v>
      </c>
    </row>
    <row r="18" spans="1:22" ht="15" x14ac:dyDescent="0.2">
      <c r="A18" s="626">
        <v>7</v>
      </c>
      <c r="B18" s="627" t="s">
        <v>392</v>
      </c>
      <c r="C18" s="991">
        <v>431</v>
      </c>
      <c r="D18" s="992">
        <v>38.790000000000006</v>
      </c>
      <c r="E18" s="992">
        <v>4.3100000000000005</v>
      </c>
      <c r="F18" s="992">
        <v>43.100000000000009</v>
      </c>
      <c r="G18" s="991">
        <v>268</v>
      </c>
      <c r="H18" s="992">
        <v>36.18</v>
      </c>
      <c r="I18" s="992">
        <v>4.0200000000000005</v>
      </c>
      <c r="J18" s="992">
        <v>40.200000000000003</v>
      </c>
      <c r="K18" s="991">
        <v>31</v>
      </c>
      <c r="L18" s="992">
        <v>5.58</v>
      </c>
      <c r="M18" s="992">
        <v>0.62</v>
      </c>
      <c r="N18" s="992">
        <v>6.2</v>
      </c>
      <c r="O18" s="991">
        <v>15</v>
      </c>
      <c r="P18" s="992">
        <v>3.3750000000000004</v>
      </c>
      <c r="Q18" s="992">
        <v>0.37500000000000006</v>
      </c>
      <c r="R18" s="992">
        <v>3.7500000000000004</v>
      </c>
      <c r="S18" s="991">
        <v>745</v>
      </c>
      <c r="T18" s="992">
        <v>83.924999999999997</v>
      </c>
      <c r="U18" s="992">
        <v>9.3250000000000011</v>
      </c>
      <c r="V18" s="992">
        <v>93.25</v>
      </c>
    </row>
    <row r="19" spans="1:22" ht="15" x14ac:dyDescent="0.2">
      <c r="A19" s="626">
        <v>8</v>
      </c>
      <c r="B19" s="627" t="s">
        <v>393</v>
      </c>
      <c r="C19" s="991">
        <v>1155</v>
      </c>
      <c r="D19" s="992">
        <v>103.95</v>
      </c>
      <c r="E19" s="992">
        <v>11.55</v>
      </c>
      <c r="F19" s="992">
        <v>115.5</v>
      </c>
      <c r="G19" s="991">
        <v>124</v>
      </c>
      <c r="H19" s="992">
        <v>16.740000000000002</v>
      </c>
      <c r="I19" s="992">
        <v>1.86</v>
      </c>
      <c r="J19" s="992">
        <v>18.600000000000001</v>
      </c>
      <c r="K19" s="991">
        <v>10</v>
      </c>
      <c r="L19" s="992">
        <v>1.8</v>
      </c>
      <c r="M19" s="992">
        <v>0.2</v>
      </c>
      <c r="N19" s="992">
        <v>2</v>
      </c>
      <c r="O19" s="991">
        <v>0</v>
      </c>
      <c r="P19" s="992">
        <v>0</v>
      </c>
      <c r="Q19" s="992">
        <v>0</v>
      </c>
      <c r="R19" s="992">
        <v>0</v>
      </c>
      <c r="S19" s="991">
        <v>1289</v>
      </c>
      <c r="T19" s="992">
        <v>122.49</v>
      </c>
      <c r="U19" s="992">
        <v>13.61</v>
      </c>
      <c r="V19" s="992">
        <v>136.1</v>
      </c>
    </row>
    <row r="20" spans="1:22" ht="15" x14ac:dyDescent="0.2">
      <c r="A20" s="626">
        <v>9</v>
      </c>
      <c r="B20" s="627" t="s">
        <v>394</v>
      </c>
      <c r="C20" s="991">
        <v>717</v>
      </c>
      <c r="D20" s="992">
        <v>64.53</v>
      </c>
      <c r="E20" s="992">
        <v>7.1700000000000008</v>
      </c>
      <c r="F20" s="992">
        <v>71.7</v>
      </c>
      <c r="G20" s="991">
        <v>105</v>
      </c>
      <c r="H20" s="992">
        <v>14.175000000000001</v>
      </c>
      <c r="I20" s="992">
        <v>1.5750000000000002</v>
      </c>
      <c r="J20" s="992">
        <v>15.75</v>
      </c>
      <c r="K20" s="991">
        <v>5</v>
      </c>
      <c r="L20" s="992">
        <v>0.9</v>
      </c>
      <c r="M20" s="992">
        <v>0.1</v>
      </c>
      <c r="N20" s="992">
        <v>1</v>
      </c>
      <c r="O20" s="991">
        <v>7</v>
      </c>
      <c r="P20" s="992">
        <v>1.5750000000000002</v>
      </c>
      <c r="Q20" s="992">
        <v>0.17500000000000002</v>
      </c>
      <c r="R20" s="992">
        <v>1.7500000000000002</v>
      </c>
      <c r="S20" s="991">
        <v>834</v>
      </c>
      <c r="T20" s="992">
        <v>81.180000000000007</v>
      </c>
      <c r="U20" s="992">
        <v>9.0200000000000014</v>
      </c>
      <c r="V20" s="992">
        <v>90.2</v>
      </c>
    </row>
    <row r="21" spans="1:22" ht="15" x14ac:dyDescent="0.2">
      <c r="A21" s="626">
        <v>10</v>
      </c>
      <c r="B21" s="627" t="s">
        <v>395</v>
      </c>
      <c r="C21" s="991">
        <v>293</v>
      </c>
      <c r="D21" s="992">
        <v>26.37</v>
      </c>
      <c r="E21" s="992">
        <v>2.93</v>
      </c>
      <c r="F21" s="992">
        <v>29.3</v>
      </c>
      <c r="G21" s="991">
        <v>124</v>
      </c>
      <c r="H21" s="992">
        <v>16.740000000000002</v>
      </c>
      <c r="I21" s="992">
        <v>1.86</v>
      </c>
      <c r="J21" s="992">
        <v>18.600000000000001</v>
      </c>
      <c r="K21" s="991">
        <v>1</v>
      </c>
      <c r="L21" s="992">
        <v>0.18000000000000002</v>
      </c>
      <c r="M21" s="992">
        <v>0.02</v>
      </c>
      <c r="N21" s="992">
        <v>0.2</v>
      </c>
      <c r="O21" s="991">
        <v>0</v>
      </c>
      <c r="P21" s="992">
        <v>0</v>
      </c>
      <c r="Q21" s="992">
        <v>0</v>
      </c>
      <c r="R21" s="992">
        <v>0</v>
      </c>
      <c r="S21" s="991">
        <v>418</v>
      </c>
      <c r="T21" s="992">
        <v>43.29</v>
      </c>
      <c r="U21" s="992">
        <v>4.8099999999999996</v>
      </c>
      <c r="V21" s="992">
        <v>48.1</v>
      </c>
    </row>
    <row r="22" spans="1:22" ht="15" x14ac:dyDescent="0.2">
      <c r="A22" s="626">
        <v>11</v>
      </c>
      <c r="B22" s="627" t="s">
        <v>396</v>
      </c>
      <c r="C22" s="991">
        <v>1056</v>
      </c>
      <c r="D22" s="992">
        <v>95.04</v>
      </c>
      <c r="E22" s="992">
        <v>10.56</v>
      </c>
      <c r="F22" s="992">
        <v>105.60000000000001</v>
      </c>
      <c r="G22" s="991">
        <v>275</v>
      </c>
      <c r="H22" s="992">
        <v>37.125</v>
      </c>
      <c r="I22" s="992">
        <v>4.125</v>
      </c>
      <c r="J22" s="992">
        <v>41.25</v>
      </c>
      <c r="K22" s="991">
        <v>8</v>
      </c>
      <c r="L22" s="992">
        <v>1.4400000000000002</v>
      </c>
      <c r="M22" s="992">
        <v>0.16</v>
      </c>
      <c r="N22" s="992">
        <v>1.6</v>
      </c>
      <c r="O22" s="991">
        <v>1</v>
      </c>
      <c r="P22" s="992">
        <v>0.22500000000000001</v>
      </c>
      <c r="Q22" s="992">
        <v>2.5000000000000001E-2</v>
      </c>
      <c r="R22" s="992">
        <v>0.25</v>
      </c>
      <c r="S22" s="991">
        <v>1340</v>
      </c>
      <c r="T22" s="992">
        <v>133.83000000000001</v>
      </c>
      <c r="U22" s="992">
        <v>14.870000000000001</v>
      </c>
      <c r="V22" s="992">
        <v>148.70000000000002</v>
      </c>
    </row>
    <row r="23" spans="1:22" ht="15" x14ac:dyDescent="0.2">
      <c r="A23" s="626">
        <v>12</v>
      </c>
      <c r="B23" s="627" t="s">
        <v>397</v>
      </c>
      <c r="C23" s="991">
        <v>244</v>
      </c>
      <c r="D23" s="992">
        <v>21.96</v>
      </c>
      <c r="E23" s="992">
        <v>2.4400000000000004</v>
      </c>
      <c r="F23" s="992">
        <v>24.400000000000002</v>
      </c>
      <c r="G23" s="991">
        <v>268</v>
      </c>
      <c r="H23" s="992">
        <v>36.18</v>
      </c>
      <c r="I23" s="992">
        <v>4.0200000000000005</v>
      </c>
      <c r="J23" s="992">
        <v>40.200000000000003</v>
      </c>
      <c r="K23" s="991">
        <v>84</v>
      </c>
      <c r="L23" s="992">
        <v>15.120000000000001</v>
      </c>
      <c r="M23" s="992">
        <v>1.6800000000000002</v>
      </c>
      <c r="N23" s="992">
        <v>16.8</v>
      </c>
      <c r="O23" s="991">
        <v>52</v>
      </c>
      <c r="P23" s="992">
        <v>11.700000000000001</v>
      </c>
      <c r="Q23" s="992">
        <v>1.3</v>
      </c>
      <c r="R23" s="992">
        <v>13.000000000000002</v>
      </c>
      <c r="S23" s="991">
        <v>648</v>
      </c>
      <c r="T23" s="992">
        <v>84.960000000000008</v>
      </c>
      <c r="U23" s="992">
        <v>9.4400000000000013</v>
      </c>
      <c r="V23" s="992">
        <v>94.4</v>
      </c>
    </row>
    <row r="24" spans="1:22" ht="15" x14ac:dyDescent="0.2">
      <c r="A24" s="626">
        <v>13</v>
      </c>
      <c r="B24" s="627" t="s">
        <v>398</v>
      </c>
      <c r="C24" s="991">
        <v>588</v>
      </c>
      <c r="D24" s="992">
        <v>52.92</v>
      </c>
      <c r="E24" s="992">
        <v>5.8800000000000008</v>
      </c>
      <c r="F24" s="992">
        <v>58.800000000000004</v>
      </c>
      <c r="G24" s="991">
        <v>172</v>
      </c>
      <c r="H24" s="992">
        <v>23.220000000000002</v>
      </c>
      <c r="I24" s="992">
        <v>2.58</v>
      </c>
      <c r="J24" s="992">
        <v>25.800000000000004</v>
      </c>
      <c r="K24" s="991">
        <v>5</v>
      </c>
      <c r="L24" s="992">
        <v>0.9</v>
      </c>
      <c r="M24" s="992">
        <v>0.1</v>
      </c>
      <c r="N24" s="992">
        <v>1</v>
      </c>
      <c r="O24" s="991">
        <v>0</v>
      </c>
      <c r="P24" s="992">
        <v>0</v>
      </c>
      <c r="Q24" s="992">
        <v>0</v>
      </c>
      <c r="R24" s="992">
        <v>0</v>
      </c>
      <c r="S24" s="991">
        <v>765</v>
      </c>
      <c r="T24" s="992">
        <v>77.040000000000006</v>
      </c>
      <c r="U24" s="992">
        <v>8.56</v>
      </c>
      <c r="V24" s="992">
        <v>85.600000000000009</v>
      </c>
    </row>
    <row r="25" spans="1:22" ht="18.75" x14ac:dyDescent="0.2">
      <c r="A25" s="630"/>
      <c r="B25" s="866" t="s">
        <v>18</v>
      </c>
      <c r="C25" s="870">
        <v>7296</v>
      </c>
      <c r="D25" s="869">
        <v>656.64</v>
      </c>
      <c r="E25" s="869">
        <v>72.959999999999994</v>
      </c>
      <c r="F25" s="869">
        <v>729.6</v>
      </c>
      <c r="G25" s="870">
        <v>2594</v>
      </c>
      <c r="H25" s="869">
        <v>350.19000000000005</v>
      </c>
      <c r="I25" s="869">
        <v>38.910000000000004</v>
      </c>
      <c r="J25" s="869">
        <v>389.1</v>
      </c>
      <c r="K25" s="870">
        <v>391</v>
      </c>
      <c r="L25" s="869">
        <v>70.38000000000001</v>
      </c>
      <c r="M25" s="869">
        <v>7.82</v>
      </c>
      <c r="N25" s="869">
        <v>78.200000000000017</v>
      </c>
      <c r="O25" s="870">
        <v>113</v>
      </c>
      <c r="P25" s="869">
        <v>25.425000000000001</v>
      </c>
      <c r="Q25" s="869">
        <v>2.8250000000000002</v>
      </c>
      <c r="R25" s="869">
        <v>28.250000000000004</v>
      </c>
      <c r="S25" s="870">
        <v>10394</v>
      </c>
      <c r="T25" s="869">
        <v>1102.635</v>
      </c>
      <c r="U25" s="869">
        <v>122.51500000000001</v>
      </c>
      <c r="V25" s="869">
        <v>1225.1500000000001</v>
      </c>
    </row>
    <row r="26" spans="1:22" ht="15" x14ac:dyDescent="0.25">
      <c r="A26" s="826"/>
      <c r="B26" s="826"/>
      <c r="C26" s="818"/>
      <c r="D26" s="818"/>
      <c r="E26" s="818"/>
      <c r="F26" s="818"/>
      <c r="G26" s="818"/>
      <c r="H26" s="818"/>
      <c r="I26" s="818"/>
      <c r="J26" s="818"/>
      <c r="K26" s="818"/>
      <c r="L26" s="818"/>
      <c r="M26" s="818"/>
      <c r="N26" s="818"/>
      <c r="O26" s="818"/>
      <c r="P26" s="818"/>
      <c r="Q26" s="818"/>
      <c r="R26" s="818"/>
      <c r="S26" s="818"/>
      <c r="T26" s="818"/>
      <c r="U26" s="818"/>
      <c r="V26" s="818"/>
    </row>
    <row r="27" spans="1:22" ht="15" x14ac:dyDescent="0.25">
      <c r="A27" s="826"/>
      <c r="B27" s="826"/>
      <c r="C27" s="818"/>
      <c r="D27" s="818"/>
      <c r="E27" s="818"/>
      <c r="F27" s="818"/>
      <c r="G27" s="818"/>
      <c r="H27" s="818"/>
      <c r="I27" s="818"/>
      <c r="J27" s="818"/>
      <c r="K27" s="818"/>
      <c r="L27" s="818"/>
      <c r="M27" s="818"/>
      <c r="N27" s="818"/>
      <c r="O27" s="818"/>
      <c r="P27" s="818"/>
      <c r="Q27" s="818"/>
      <c r="R27" s="818"/>
      <c r="S27" s="818"/>
      <c r="T27" s="818"/>
      <c r="U27" s="818"/>
      <c r="V27" s="818"/>
    </row>
    <row r="28" spans="1:22" ht="15" x14ac:dyDescent="0.25">
      <c r="A28" s="826"/>
      <c r="B28" s="826"/>
      <c r="C28" s="818"/>
      <c r="D28" s="818"/>
      <c r="E28" s="818"/>
      <c r="F28" s="818"/>
      <c r="G28" s="818"/>
      <c r="H28" s="818"/>
      <c r="I28" s="818"/>
      <c r="J28" s="818"/>
      <c r="K28" s="818"/>
      <c r="L28" s="818"/>
      <c r="M28" s="818"/>
      <c r="N28" s="818"/>
      <c r="O28" s="818"/>
      <c r="P28" s="818"/>
      <c r="Q28" s="818"/>
      <c r="R28" s="818"/>
      <c r="S28" s="818"/>
      <c r="T28" s="818"/>
      <c r="U28" s="818"/>
      <c r="V28" s="818"/>
    </row>
    <row r="30" spans="1:22" x14ac:dyDescent="0.2">
      <c r="A30" s="993" t="s">
        <v>11</v>
      </c>
      <c r="B30" s="983"/>
      <c r="C30" s="983"/>
      <c r="D30" s="983"/>
      <c r="E30" s="983"/>
      <c r="F30" s="983"/>
      <c r="G30" s="993"/>
      <c r="H30" s="993"/>
      <c r="I30" s="983"/>
      <c r="J30" s="983"/>
      <c r="K30" s="993"/>
      <c r="L30" s="993"/>
      <c r="M30" s="993"/>
      <c r="N30" s="993"/>
      <c r="O30" s="993"/>
      <c r="P30" s="993"/>
      <c r="Q30" s="993"/>
      <c r="R30" s="993"/>
      <c r="S30" s="1526"/>
      <c r="T30" s="1526"/>
      <c r="U30" s="1526"/>
      <c r="V30" s="1526"/>
    </row>
    <row r="31" spans="1:22" ht="15" x14ac:dyDescent="0.25">
      <c r="A31" s="983"/>
      <c r="B31" s="983"/>
      <c r="C31" s="983"/>
      <c r="D31" s="983"/>
      <c r="E31" s="983"/>
      <c r="F31" s="983"/>
      <c r="G31" s="983"/>
      <c r="H31" s="983"/>
      <c r="I31" s="983"/>
      <c r="J31" s="983"/>
      <c r="K31" s="994"/>
      <c r="L31" s="994"/>
      <c r="M31" s="994"/>
      <c r="N31" s="994"/>
      <c r="O31" s="994"/>
      <c r="P31" s="994"/>
      <c r="Q31" s="994"/>
      <c r="R31" s="807"/>
      <c r="S31" s="1526" t="s">
        <v>12</v>
      </c>
      <c r="T31" s="1526"/>
      <c r="U31" s="994"/>
      <c r="V31" s="994"/>
    </row>
    <row r="32" spans="1:22" x14ac:dyDescent="0.2">
      <c r="A32" s="983"/>
      <c r="B32" s="983"/>
      <c r="C32" s="983"/>
      <c r="D32" s="983"/>
      <c r="E32" s="983"/>
      <c r="F32" s="983"/>
      <c r="G32" s="983"/>
      <c r="H32" s="983"/>
      <c r="I32" s="983"/>
      <c r="J32" s="983"/>
      <c r="K32" s="994"/>
      <c r="L32" s="994"/>
      <c r="M32" s="994"/>
      <c r="N32" s="994"/>
      <c r="O32" s="994"/>
      <c r="P32" s="994"/>
      <c r="Q32" s="994"/>
      <c r="R32" s="994" t="s">
        <v>13</v>
      </c>
      <c r="S32" s="994"/>
      <c r="T32" s="994"/>
      <c r="U32" s="994"/>
      <c r="V32" s="994"/>
    </row>
    <row r="33" spans="1:22" x14ac:dyDescent="0.2">
      <c r="A33" s="993"/>
      <c r="B33" s="993"/>
      <c r="C33" s="983"/>
      <c r="D33" s="983"/>
      <c r="E33" s="983"/>
      <c r="F33" s="983"/>
      <c r="G33" s="983"/>
      <c r="H33" s="983"/>
      <c r="I33" s="983"/>
      <c r="J33" s="983"/>
      <c r="K33" s="993"/>
      <c r="L33" s="993"/>
      <c r="M33" s="993"/>
      <c r="N33" s="993"/>
      <c r="O33" s="993"/>
      <c r="P33" s="993"/>
      <c r="Q33" s="994"/>
      <c r="R33" s="994" t="s">
        <v>87</v>
      </c>
      <c r="S33" s="994"/>
      <c r="T33" s="994"/>
      <c r="U33" s="994"/>
      <c r="V33" s="994"/>
    </row>
    <row r="34" spans="1:22" x14ac:dyDescent="0.2">
      <c r="A34" s="989"/>
      <c r="B34" s="989"/>
      <c r="C34" s="989"/>
      <c r="D34" s="989"/>
      <c r="E34" s="989"/>
      <c r="F34" s="989"/>
      <c r="G34" s="989"/>
      <c r="H34" s="989"/>
      <c r="I34" s="989"/>
      <c r="J34" s="989"/>
      <c r="K34" s="989"/>
      <c r="L34" s="989"/>
      <c r="M34" s="989"/>
      <c r="N34" s="989"/>
      <c r="O34" s="989"/>
      <c r="P34" s="989"/>
      <c r="Q34" s="989"/>
      <c r="R34" s="1523" t="s">
        <v>84</v>
      </c>
      <c r="S34" s="1523"/>
      <c r="T34" s="1523"/>
      <c r="U34" s="989"/>
      <c r="V34" s="989"/>
    </row>
  </sheetData>
  <mergeCells count="23">
    <mergeCell ref="R34:T34"/>
    <mergeCell ref="A2:V2"/>
    <mergeCell ref="A4:V4"/>
    <mergeCell ref="O9:O10"/>
    <mergeCell ref="P9:R9"/>
    <mergeCell ref="S9:S10"/>
    <mergeCell ref="T9:V9"/>
    <mergeCell ref="S30:V30"/>
    <mergeCell ref="S31:T31"/>
    <mergeCell ref="C9:C10"/>
    <mergeCell ref="D9:F9"/>
    <mergeCell ref="G9:G10"/>
    <mergeCell ref="H9:J9"/>
    <mergeCell ref="K9:K10"/>
    <mergeCell ref="L9:N9"/>
    <mergeCell ref="U1:V1"/>
    <mergeCell ref="A8:A10"/>
    <mergeCell ref="B8:B10"/>
    <mergeCell ref="C8:F8"/>
    <mergeCell ref="G8:J8"/>
    <mergeCell ref="K8:N8"/>
    <mergeCell ref="O8:R8"/>
    <mergeCell ref="S8:V8"/>
  </mergeCells>
  <printOptions horizontalCentered="1"/>
  <pageMargins left="0.70866141732283472" right="0.70866141732283472" top="0.23622047244094491" bottom="0" header="0.31496062992125984" footer="0.31496062992125984"/>
  <pageSetup paperSize="9" scale="66"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5" tint="0.39997558519241921"/>
    <pageSetUpPr fitToPage="1"/>
  </sheetPr>
  <dimension ref="A1:S30"/>
  <sheetViews>
    <sheetView view="pageBreakPreview" topLeftCell="A8" zoomScale="80" zoomScaleSheetLayoutView="80" workbookViewId="0">
      <selection activeCell="F25" sqref="F25"/>
    </sheetView>
  </sheetViews>
  <sheetFormatPr defaultColWidth="8.85546875" defaultRowHeight="14.25" x14ac:dyDescent="0.2"/>
  <cols>
    <col min="1" max="1" width="8.5703125" style="52" customWidth="1"/>
    <col min="2" max="2" width="24.28515625" style="52" customWidth="1"/>
    <col min="3" max="3" width="12.42578125" style="52" customWidth="1"/>
    <col min="4" max="5" width="12.85546875" style="52" customWidth="1"/>
    <col min="6" max="6" width="16" style="52" customWidth="1"/>
    <col min="7" max="7" width="13" style="52" customWidth="1"/>
    <col min="8" max="8" width="11.42578125" style="52" customWidth="1"/>
    <col min="9" max="9" width="10.7109375" style="52" customWidth="1"/>
    <col min="10" max="10" width="14.5703125" style="52" customWidth="1"/>
    <col min="11" max="11" width="13.28515625" style="52" customWidth="1"/>
    <col min="12" max="12" width="17.28515625" style="52" customWidth="1"/>
    <col min="13" max="16384" width="8.85546875" style="52"/>
  </cols>
  <sheetData>
    <row r="1" spans="1:19" ht="15" x14ac:dyDescent="0.2">
      <c r="B1" s="966"/>
      <c r="C1" s="966"/>
      <c r="D1" s="966"/>
      <c r="E1" s="1037"/>
      <c r="F1" s="1037"/>
      <c r="G1" s="1037"/>
      <c r="H1" s="1037"/>
      <c r="I1" s="1037"/>
      <c r="J1" s="963"/>
      <c r="K1" s="1237" t="s">
        <v>681</v>
      </c>
      <c r="L1" s="1237"/>
    </row>
    <row r="2" spans="1:19" ht="15.75" x14ac:dyDescent="0.25">
      <c r="A2" s="1131" t="s">
        <v>0</v>
      </c>
      <c r="B2" s="1131"/>
      <c r="C2" s="1131"/>
      <c r="D2" s="1131"/>
      <c r="E2" s="1131"/>
      <c r="F2" s="1131"/>
      <c r="G2" s="1131"/>
      <c r="H2" s="1131"/>
      <c r="I2" s="1131"/>
      <c r="J2" s="1131"/>
      <c r="K2" s="1131"/>
      <c r="L2" s="1131"/>
    </row>
    <row r="3" spans="1:19" ht="15.75" x14ac:dyDescent="0.25">
      <c r="A3" s="1131" t="s">
        <v>788</v>
      </c>
      <c r="B3" s="1131"/>
      <c r="C3" s="1131"/>
      <c r="D3" s="1131"/>
      <c r="E3" s="1131"/>
      <c r="F3" s="1131"/>
      <c r="G3" s="1131"/>
      <c r="H3" s="1131"/>
      <c r="I3" s="1131"/>
      <c r="J3" s="1131"/>
      <c r="K3" s="1131"/>
      <c r="L3" s="1131"/>
    </row>
    <row r="4" spans="1:19" s="184" customFormat="1" ht="15.6" customHeight="1" x14ac:dyDescent="0.25">
      <c r="A4" s="1203" t="s">
        <v>830</v>
      </c>
      <c r="B4" s="1203"/>
      <c r="C4" s="1203"/>
      <c r="D4" s="1203"/>
      <c r="E4" s="1203"/>
      <c r="F4" s="1203"/>
      <c r="G4" s="1203"/>
      <c r="H4" s="1203"/>
      <c r="I4" s="1203"/>
      <c r="J4" s="1203"/>
      <c r="K4" s="1203"/>
      <c r="L4" s="1203"/>
    </row>
    <row r="5" spans="1:19" ht="15" x14ac:dyDescent="0.25">
      <c r="A5" s="1075" t="s">
        <v>456</v>
      </c>
      <c r="B5" s="1075"/>
      <c r="G5" s="53"/>
      <c r="H5" s="53"/>
    </row>
    <row r="6" spans="1:19" ht="18.75" customHeight="1" x14ac:dyDescent="0.2">
      <c r="A6" s="1535" t="s">
        <v>113</v>
      </c>
      <c r="B6" s="1528" t="s">
        <v>3</v>
      </c>
      <c r="C6" s="1534" t="s">
        <v>26</v>
      </c>
      <c r="D6" s="1534"/>
      <c r="E6" s="1534"/>
      <c r="F6" s="1534"/>
      <c r="G6" s="1534" t="s">
        <v>27</v>
      </c>
      <c r="H6" s="1534"/>
      <c r="I6" s="1534"/>
      <c r="J6" s="1534"/>
      <c r="K6" s="1528" t="s">
        <v>208</v>
      </c>
      <c r="L6" s="1528" t="s">
        <v>1135</v>
      </c>
    </row>
    <row r="7" spans="1:19" ht="31.15" customHeight="1" x14ac:dyDescent="0.2">
      <c r="A7" s="1536"/>
      <c r="B7" s="1529"/>
      <c r="C7" s="1527" t="s">
        <v>266</v>
      </c>
      <c r="D7" s="1528" t="s">
        <v>513</v>
      </c>
      <c r="E7" s="1527" t="s">
        <v>101</v>
      </c>
      <c r="F7" s="1527"/>
      <c r="G7" s="1527" t="s">
        <v>266</v>
      </c>
      <c r="H7" s="1527" t="s">
        <v>513</v>
      </c>
      <c r="I7" s="1527" t="s">
        <v>101</v>
      </c>
      <c r="J7" s="1527"/>
      <c r="K7" s="1529"/>
      <c r="L7" s="1529"/>
    </row>
    <row r="8" spans="1:19" ht="63" customHeight="1" x14ac:dyDescent="0.2">
      <c r="A8" s="1537"/>
      <c r="B8" s="1530"/>
      <c r="C8" s="1527"/>
      <c r="D8" s="1529"/>
      <c r="E8" s="969" t="s">
        <v>831</v>
      </c>
      <c r="F8" s="292" t="s">
        <v>514</v>
      </c>
      <c r="G8" s="1527"/>
      <c r="H8" s="1527"/>
      <c r="I8" s="969" t="s">
        <v>831</v>
      </c>
      <c r="J8" s="968" t="s">
        <v>152</v>
      </c>
      <c r="K8" s="1530"/>
      <c r="L8" s="1530"/>
    </row>
    <row r="9" spans="1:19" x14ac:dyDescent="0.2">
      <c r="A9" s="256">
        <v>1</v>
      </c>
      <c r="B9" s="257">
        <v>2</v>
      </c>
      <c r="C9" s="256">
        <v>3</v>
      </c>
      <c r="D9" s="254">
        <v>4</v>
      </c>
      <c r="E9" s="258">
        <v>5</v>
      </c>
      <c r="F9" s="254">
        <v>6</v>
      </c>
      <c r="G9" s="258">
        <v>7</v>
      </c>
      <c r="H9" s="254">
        <v>8</v>
      </c>
      <c r="I9" s="258">
        <v>9</v>
      </c>
      <c r="J9" s="257">
        <v>10</v>
      </c>
      <c r="K9" s="256">
        <v>11</v>
      </c>
      <c r="L9" s="257">
        <v>12</v>
      </c>
      <c r="N9" s="71"/>
      <c r="O9" s="71"/>
    </row>
    <row r="10" spans="1:19" s="70" customFormat="1" ht="24.95" customHeight="1" x14ac:dyDescent="0.2">
      <c r="A10" s="964">
        <v>1</v>
      </c>
      <c r="B10" s="219" t="s">
        <v>386</v>
      </c>
      <c r="C10" s="255">
        <v>23716</v>
      </c>
      <c r="D10" s="354">
        <v>2190</v>
      </c>
      <c r="E10" s="333">
        <v>1568</v>
      </c>
      <c r="F10" s="236">
        <v>1725</v>
      </c>
      <c r="G10" s="255">
        <v>21165</v>
      </c>
      <c r="H10" s="354">
        <v>1063</v>
      </c>
      <c r="I10" s="333">
        <v>839</v>
      </c>
      <c r="J10" s="236">
        <v>923</v>
      </c>
      <c r="K10" s="259">
        <f>F10+J10</f>
        <v>2648</v>
      </c>
      <c r="L10" s="200">
        <f>K10*10*900/100000</f>
        <v>238.32</v>
      </c>
      <c r="M10" s="52"/>
      <c r="N10" s="71"/>
      <c r="O10" s="71"/>
      <c r="P10" s="71"/>
      <c r="Q10" s="71"/>
      <c r="R10" s="71"/>
      <c r="S10" s="71"/>
    </row>
    <row r="11" spans="1:19" ht="24.95" customHeight="1" x14ac:dyDescent="0.2">
      <c r="A11" s="964">
        <v>2</v>
      </c>
      <c r="B11" s="219" t="s">
        <v>387</v>
      </c>
      <c r="C11" s="255">
        <v>12061</v>
      </c>
      <c r="D11" s="354">
        <v>925</v>
      </c>
      <c r="E11" s="333">
        <v>730</v>
      </c>
      <c r="F11" s="236">
        <v>803</v>
      </c>
      <c r="G11" s="255">
        <v>10020</v>
      </c>
      <c r="H11" s="354">
        <v>450</v>
      </c>
      <c r="I11" s="333">
        <v>371</v>
      </c>
      <c r="J11" s="236">
        <v>408</v>
      </c>
      <c r="K11" s="259">
        <f t="shared" ref="K11:K22" si="0">F11+J11</f>
        <v>1211</v>
      </c>
      <c r="L11" s="200">
        <f t="shared" ref="L11:L22" si="1">K11*10*900/100000</f>
        <v>108.99</v>
      </c>
    </row>
    <row r="12" spans="1:19" ht="24.95" customHeight="1" x14ac:dyDescent="0.2">
      <c r="A12" s="964">
        <v>3</v>
      </c>
      <c r="B12" s="219" t="s">
        <v>388</v>
      </c>
      <c r="C12" s="255">
        <v>20234</v>
      </c>
      <c r="D12" s="354">
        <v>1467</v>
      </c>
      <c r="E12" s="333">
        <v>1243</v>
      </c>
      <c r="F12" s="259">
        <v>1367</v>
      </c>
      <c r="G12" s="255">
        <v>15001</v>
      </c>
      <c r="H12" s="354">
        <v>758</v>
      </c>
      <c r="I12" s="333">
        <v>669</v>
      </c>
      <c r="J12" s="259">
        <v>736</v>
      </c>
      <c r="K12" s="259">
        <f t="shared" si="0"/>
        <v>2103</v>
      </c>
      <c r="L12" s="200">
        <f t="shared" si="1"/>
        <v>189.27</v>
      </c>
    </row>
    <row r="13" spans="1:19" ht="24.95" customHeight="1" x14ac:dyDescent="0.2">
      <c r="A13" s="964">
        <v>4</v>
      </c>
      <c r="B13" s="219" t="s">
        <v>389</v>
      </c>
      <c r="C13" s="255">
        <v>12543</v>
      </c>
      <c r="D13" s="354">
        <v>871</v>
      </c>
      <c r="E13" s="333">
        <v>677</v>
      </c>
      <c r="F13" s="259">
        <v>745</v>
      </c>
      <c r="G13" s="255">
        <v>10309</v>
      </c>
      <c r="H13" s="354">
        <v>426</v>
      </c>
      <c r="I13" s="333">
        <v>369</v>
      </c>
      <c r="J13" s="259">
        <v>406</v>
      </c>
      <c r="K13" s="259">
        <f t="shared" si="0"/>
        <v>1151</v>
      </c>
      <c r="L13" s="200">
        <f t="shared" si="1"/>
        <v>103.59</v>
      </c>
    </row>
    <row r="14" spans="1:19" ht="24.95" customHeight="1" x14ac:dyDescent="0.2">
      <c r="A14" s="964">
        <v>5</v>
      </c>
      <c r="B14" s="221" t="s">
        <v>390</v>
      </c>
      <c r="C14" s="255">
        <v>43511</v>
      </c>
      <c r="D14" s="354">
        <v>1778</v>
      </c>
      <c r="E14" s="333">
        <v>1523</v>
      </c>
      <c r="F14" s="259">
        <v>1675</v>
      </c>
      <c r="G14" s="255">
        <v>31628</v>
      </c>
      <c r="H14" s="354">
        <v>1150</v>
      </c>
      <c r="I14" s="333">
        <v>931</v>
      </c>
      <c r="J14" s="259">
        <v>1024</v>
      </c>
      <c r="K14" s="259">
        <f t="shared" si="0"/>
        <v>2699</v>
      </c>
      <c r="L14" s="200">
        <f t="shared" si="1"/>
        <v>242.91</v>
      </c>
    </row>
    <row r="15" spans="1:19" ht="24.95" customHeight="1" x14ac:dyDescent="0.2">
      <c r="A15" s="964">
        <v>6</v>
      </c>
      <c r="B15" s="219" t="s">
        <v>391</v>
      </c>
      <c r="C15" s="255">
        <v>102610</v>
      </c>
      <c r="D15" s="354">
        <v>2057</v>
      </c>
      <c r="E15" s="333">
        <v>1656</v>
      </c>
      <c r="F15" s="259">
        <v>1822</v>
      </c>
      <c r="G15" s="255">
        <v>52226</v>
      </c>
      <c r="H15" s="354">
        <v>923</v>
      </c>
      <c r="I15" s="333">
        <v>825</v>
      </c>
      <c r="J15" s="259">
        <v>908</v>
      </c>
      <c r="K15" s="259">
        <f t="shared" si="0"/>
        <v>2730</v>
      </c>
      <c r="L15" s="200">
        <f t="shared" si="1"/>
        <v>245.7</v>
      </c>
    </row>
    <row r="16" spans="1:19" ht="24.95" customHeight="1" x14ac:dyDescent="0.2">
      <c r="A16" s="964">
        <v>7</v>
      </c>
      <c r="B16" s="221" t="s">
        <v>392</v>
      </c>
      <c r="C16" s="255">
        <v>33927</v>
      </c>
      <c r="D16" s="354">
        <v>1894</v>
      </c>
      <c r="E16" s="333">
        <v>1447</v>
      </c>
      <c r="F16" s="259">
        <v>1592</v>
      </c>
      <c r="G16" s="255">
        <v>28346</v>
      </c>
      <c r="H16" s="354">
        <v>1048</v>
      </c>
      <c r="I16" s="333">
        <v>829</v>
      </c>
      <c r="J16" s="259">
        <v>912</v>
      </c>
      <c r="K16" s="259">
        <f t="shared" si="0"/>
        <v>2504</v>
      </c>
      <c r="L16" s="200">
        <f t="shared" si="1"/>
        <v>225.36</v>
      </c>
    </row>
    <row r="17" spans="1:19" ht="24.95" customHeight="1" x14ac:dyDescent="0.2">
      <c r="A17" s="964">
        <v>8</v>
      </c>
      <c r="B17" s="219" t="s">
        <v>393</v>
      </c>
      <c r="C17" s="255">
        <v>23767</v>
      </c>
      <c r="D17" s="354">
        <v>2308</v>
      </c>
      <c r="E17" s="333">
        <v>1723</v>
      </c>
      <c r="F17" s="259">
        <v>1895</v>
      </c>
      <c r="G17" s="255">
        <v>20857</v>
      </c>
      <c r="H17" s="354">
        <v>1232</v>
      </c>
      <c r="I17" s="333">
        <v>1024</v>
      </c>
      <c r="J17" s="259">
        <v>1126</v>
      </c>
      <c r="K17" s="259">
        <f t="shared" si="0"/>
        <v>3021</v>
      </c>
      <c r="L17" s="200">
        <f t="shared" si="1"/>
        <v>271.89</v>
      </c>
    </row>
    <row r="18" spans="1:19" ht="24.95" customHeight="1" x14ac:dyDescent="0.2">
      <c r="A18" s="964">
        <v>9</v>
      </c>
      <c r="B18" s="219" t="s">
        <v>394</v>
      </c>
      <c r="C18" s="255">
        <v>18713</v>
      </c>
      <c r="D18" s="354">
        <v>1635</v>
      </c>
      <c r="E18" s="333">
        <v>1301</v>
      </c>
      <c r="F18" s="259">
        <v>1431</v>
      </c>
      <c r="G18" s="255">
        <v>15279</v>
      </c>
      <c r="H18" s="354">
        <v>852</v>
      </c>
      <c r="I18" s="333">
        <v>687</v>
      </c>
      <c r="J18" s="259">
        <v>756</v>
      </c>
      <c r="K18" s="259">
        <f t="shared" si="0"/>
        <v>2187</v>
      </c>
      <c r="L18" s="200">
        <f t="shared" si="1"/>
        <v>196.83</v>
      </c>
    </row>
    <row r="19" spans="1:19" ht="24.95" customHeight="1" x14ac:dyDescent="0.2">
      <c r="A19" s="964">
        <v>10</v>
      </c>
      <c r="B19" s="219" t="s">
        <v>395</v>
      </c>
      <c r="C19" s="255">
        <v>12452</v>
      </c>
      <c r="D19" s="354">
        <v>911</v>
      </c>
      <c r="E19" s="333">
        <v>697</v>
      </c>
      <c r="F19" s="259">
        <v>767</v>
      </c>
      <c r="G19" s="255">
        <v>10867</v>
      </c>
      <c r="H19" s="354">
        <v>488</v>
      </c>
      <c r="I19" s="333">
        <v>426</v>
      </c>
      <c r="J19" s="259">
        <v>469</v>
      </c>
      <c r="K19" s="259">
        <f t="shared" si="0"/>
        <v>1236</v>
      </c>
      <c r="L19" s="200">
        <f t="shared" si="1"/>
        <v>111.24</v>
      </c>
    </row>
    <row r="20" spans="1:19" ht="24.95" customHeight="1" x14ac:dyDescent="0.2">
      <c r="A20" s="964">
        <v>11</v>
      </c>
      <c r="B20" s="219" t="s">
        <v>396</v>
      </c>
      <c r="C20" s="255">
        <v>29320</v>
      </c>
      <c r="D20" s="354">
        <v>2356</v>
      </c>
      <c r="E20" s="333">
        <v>1734</v>
      </c>
      <c r="F20" s="259">
        <v>1907</v>
      </c>
      <c r="G20" s="255">
        <v>25290</v>
      </c>
      <c r="H20" s="354">
        <v>1197</v>
      </c>
      <c r="I20" s="333">
        <v>985</v>
      </c>
      <c r="J20" s="259">
        <v>1084</v>
      </c>
      <c r="K20" s="259">
        <f t="shared" si="0"/>
        <v>2991</v>
      </c>
      <c r="L20" s="200">
        <f t="shared" si="1"/>
        <v>269.19</v>
      </c>
    </row>
    <row r="21" spans="1:19" ht="24.95" customHeight="1" x14ac:dyDescent="0.2">
      <c r="A21" s="964">
        <v>12</v>
      </c>
      <c r="B21" s="219" t="s">
        <v>397</v>
      </c>
      <c r="C21" s="255">
        <v>73404</v>
      </c>
      <c r="D21" s="354">
        <v>1995</v>
      </c>
      <c r="E21" s="333">
        <v>1783</v>
      </c>
      <c r="F21" s="259">
        <v>1961</v>
      </c>
      <c r="G21" s="255">
        <v>46427</v>
      </c>
      <c r="H21" s="354">
        <v>1162</v>
      </c>
      <c r="I21" s="333">
        <v>1001</v>
      </c>
      <c r="J21" s="259">
        <v>1101</v>
      </c>
      <c r="K21" s="259">
        <f t="shared" si="0"/>
        <v>3062</v>
      </c>
      <c r="L21" s="200">
        <f t="shared" si="1"/>
        <v>275.58</v>
      </c>
    </row>
    <row r="22" spans="1:19" ht="24.95" customHeight="1" x14ac:dyDescent="0.2">
      <c r="A22" s="964">
        <v>13</v>
      </c>
      <c r="B22" s="219" t="s">
        <v>398</v>
      </c>
      <c r="C22" s="255">
        <v>17221</v>
      </c>
      <c r="D22" s="354">
        <v>1174</v>
      </c>
      <c r="E22" s="333">
        <v>988</v>
      </c>
      <c r="F22" s="259">
        <v>1087</v>
      </c>
      <c r="G22" s="255">
        <v>12252</v>
      </c>
      <c r="H22" s="354">
        <v>679</v>
      </c>
      <c r="I22" s="333">
        <v>506</v>
      </c>
      <c r="J22" s="259">
        <v>557</v>
      </c>
      <c r="K22" s="259">
        <f t="shared" si="0"/>
        <v>1644</v>
      </c>
      <c r="L22" s="200">
        <f t="shared" si="1"/>
        <v>147.96</v>
      </c>
    </row>
    <row r="23" spans="1:19" s="169" customFormat="1" ht="24.95" customHeight="1" x14ac:dyDescent="0.2">
      <c r="A23" s="964" t="s">
        <v>18</v>
      </c>
      <c r="B23" s="964"/>
      <c r="C23" s="260">
        <f t="shared" ref="C23:L23" si="2">SUM(C10:C22)</f>
        <v>423479</v>
      </c>
      <c r="D23" s="260">
        <f t="shared" si="2"/>
        <v>21561</v>
      </c>
      <c r="E23" s="228">
        <f t="shared" si="2"/>
        <v>17070</v>
      </c>
      <c r="F23" s="228">
        <f t="shared" si="2"/>
        <v>18777</v>
      </c>
      <c r="G23" s="260">
        <f>SUM(G10:G22)</f>
        <v>299667</v>
      </c>
      <c r="H23" s="260">
        <f>SUM(H10:H22)</f>
        <v>11428</v>
      </c>
      <c r="I23" s="228">
        <f t="shared" si="2"/>
        <v>9462</v>
      </c>
      <c r="J23" s="228">
        <f t="shared" si="2"/>
        <v>10410</v>
      </c>
      <c r="K23" s="228">
        <f t="shared" si="2"/>
        <v>29187</v>
      </c>
      <c r="L23" s="201">
        <f t="shared" si="2"/>
        <v>2626.8299999999995</v>
      </c>
      <c r="M23" s="52"/>
      <c r="N23" s="52"/>
    </row>
    <row r="24" spans="1:19" ht="30.6" customHeight="1" x14ac:dyDescent="0.2">
      <c r="A24" s="1531" t="s">
        <v>121</v>
      </c>
      <c r="B24" s="1532"/>
      <c r="C24" s="1532"/>
      <c r="D24" s="1532"/>
      <c r="E24" s="1532"/>
      <c r="F24" s="1532"/>
      <c r="G24" s="1532"/>
      <c r="H24" s="1532"/>
      <c r="I24" s="1532"/>
      <c r="J24" s="1532"/>
      <c r="K24" s="1533"/>
      <c r="L24" s="1533"/>
    </row>
    <row r="25" spans="1:19" ht="30.6" customHeight="1" x14ac:dyDescent="0.2">
      <c r="A25" s="970"/>
      <c r="B25" s="971"/>
      <c r="C25" s="971"/>
      <c r="D25" s="971"/>
      <c r="E25" s="971"/>
      <c r="F25" s="971"/>
      <c r="G25" s="971"/>
      <c r="H25" s="971"/>
      <c r="I25" s="971"/>
      <c r="J25" s="971"/>
      <c r="K25" s="972"/>
      <c r="L25" s="972"/>
    </row>
    <row r="26" spans="1:19" x14ac:dyDescent="0.2">
      <c r="A26" s="11"/>
      <c r="B26" s="11"/>
      <c r="C26" s="11"/>
      <c r="D26" s="966"/>
      <c r="E26" s="966"/>
      <c r="F26" s="966"/>
      <c r="G26" s="966"/>
      <c r="H26" s="966"/>
      <c r="I26" s="966"/>
      <c r="J26" s="966"/>
      <c r="K26" s="966"/>
      <c r="L26" s="966"/>
      <c r="M26" s="966"/>
      <c r="N26" s="966"/>
      <c r="O26" s="966"/>
      <c r="P26" s="966"/>
      <c r="Q26" s="966"/>
      <c r="R26" s="966"/>
    </row>
    <row r="27" spans="1:19" s="966" customFormat="1" ht="15.75" customHeight="1" x14ac:dyDescent="0.2">
      <c r="A27" s="11" t="s">
        <v>11</v>
      </c>
      <c r="D27" s="11"/>
      <c r="E27" s="11"/>
      <c r="H27" s="11"/>
      <c r="I27" s="11"/>
      <c r="J27" s="11"/>
      <c r="K27" s="1074" t="s">
        <v>12</v>
      </c>
      <c r="L27" s="1074"/>
      <c r="M27" s="11"/>
      <c r="N27" s="11"/>
      <c r="O27" s="11"/>
      <c r="P27" s="11"/>
    </row>
    <row r="28" spans="1:19" s="966" customFormat="1" ht="13.15" customHeight="1" x14ac:dyDescent="0.2">
      <c r="G28" s="11"/>
      <c r="I28" s="24"/>
      <c r="J28" s="1037" t="s">
        <v>13</v>
      </c>
      <c r="K28" s="1037"/>
      <c r="L28" s="1037"/>
      <c r="M28" s="24"/>
      <c r="N28" s="24"/>
      <c r="O28" s="24"/>
      <c r="P28" s="24"/>
      <c r="Q28" s="24"/>
      <c r="R28" s="24"/>
      <c r="S28" s="965"/>
    </row>
    <row r="29" spans="1:19" s="966" customFormat="1" ht="12.75" customHeight="1" x14ac:dyDescent="0.2">
      <c r="H29" s="24"/>
      <c r="I29" s="1037" t="s">
        <v>87</v>
      </c>
      <c r="J29" s="1037"/>
      <c r="K29" s="1037"/>
      <c r="L29" s="1037"/>
      <c r="M29" s="24"/>
      <c r="N29" s="24"/>
      <c r="O29" s="24"/>
      <c r="P29" s="24"/>
      <c r="Q29" s="24"/>
      <c r="R29" s="24"/>
      <c r="S29" s="965"/>
    </row>
    <row r="30" spans="1:19" s="966" customFormat="1" ht="12.75" x14ac:dyDescent="0.2">
      <c r="A30" s="11"/>
      <c r="B30" s="11"/>
      <c r="H30" s="11"/>
      <c r="I30" s="11"/>
      <c r="J30" s="11"/>
      <c r="K30" s="11" t="s">
        <v>84</v>
      </c>
      <c r="L30" s="11"/>
      <c r="M30" s="11"/>
      <c r="Q30" s="11"/>
    </row>
  </sheetData>
  <mergeCells count="22">
    <mergeCell ref="J28:L28"/>
    <mergeCell ref="I29:L29"/>
    <mergeCell ref="A4:L4"/>
    <mergeCell ref="D7:D8"/>
    <mergeCell ref="I7:J7"/>
    <mergeCell ref="E7:F7"/>
    <mergeCell ref="C7:C8"/>
    <mergeCell ref="H7:H8"/>
    <mergeCell ref="A5:B5"/>
    <mergeCell ref="A6:A8"/>
    <mergeCell ref="B6:B8"/>
    <mergeCell ref="K27:L27"/>
    <mergeCell ref="A3:L3"/>
    <mergeCell ref="G7:G8"/>
    <mergeCell ref="L6:L8"/>
    <mergeCell ref="A24:L24"/>
    <mergeCell ref="E1:I1"/>
    <mergeCell ref="K1:L1"/>
    <mergeCell ref="G6:J6"/>
    <mergeCell ref="C6:F6"/>
    <mergeCell ref="K6:K8"/>
    <mergeCell ref="A2:L2"/>
  </mergeCells>
  <phoneticPr fontId="0" type="noConversion"/>
  <printOptions horizontalCentered="1"/>
  <pageMargins left="0.56000000000000005" right="0.31" top="0.23622047244094491" bottom="0" header="0.31496062992125984" footer="0.25"/>
  <pageSetup paperSize="9" scale="84"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IU37"/>
  <sheetViews>
    <sheetView view="pageBreakPreview" topLeftCell="E16" zoomScale="91" zoomScaleSheetLayoutView="91" workbookViewId="0">
      <selection activeCell="V43" sqref="V43"/>
    </sheetView>
  </sheetViews>
  <sheetFormatPr defaultRowHeight="12.75" x14ac:dyDescent="0.2"/>
  <cols>
    <col min="1" max="1" width="4.7109375" style="98" customWidth="1"/>
    <col min="2" max="2" width="22.7109375" style="98" customWidth="1"/>
    <col min="3" max="23" width="10.42578125" style="98" customWidth="1"/>
    <col min="24" max="24" width="9.42578125" style="98" bestFit="1" customWidth="1"/>
    <col min="25" max="16384" width="9.140625" style="98"/>
  </cols>
  <sheetData>
    <row r="1" spans="1:255" ht="15.75" x14ac:dyDescent="0.25">
      <c r="P1" s="182"/>
      <c r="Q1" s="182"/>
      <c r="R1" s="182"/>
      <c r="S1" s="182"/>
      <c r="U1" s="182"/>
      <c r="V1" s="1544" t="s">
        <v>682</v>
      </c>
      <c r="W1" s="1544"/>
    </row>
    <row r="2" spans="1:255" ht="15.75" x14ac:dyDescent="0.25">
      <c r="A2" s="1404" t="s">
        <v>0</v>
      </c>
      <c r="B2" s="1404"/>
      <c r="C2" s="1404"/>
      <c r="D2" s="1404"/>
      <c r="E2" s="1404"/>
      <c r="F2" s="1404"/>
      <c r="G2" s="1404"/>
      <c r="H2" s="1404"/>
      <c r="I2" s="1404"/>
      <c r="J2" s="1404"/>
      <c r="K2" s="1404"/>
      <c r="L2" s="1404"/>
      <c r="M2" s="1404"/>
      <c r="N2" s="1404"/>
      <c r="O2" s="1404"/>
      <c r="P2" s="1404"/>
      <c r="Q2" s="1404"/>
      <c r="R2" s="1404"/>
      <c r="S2" s="1404"/>
      <c r="T2" s="1404"/>
      <c r="U2" s="1404"/>
      <c r="V2" s="1404"/>
      <c r="W2" s="1404"/>
    </row>
    <row r="3" spans="1:255" ht="15.75" x14ac:dyDescent="0.25">
      <c r="A3" s="1404" t="s">
        <v>788</v>
      </c>
      <c r="B3" s="1404"/>
      <c r="C3" s="1404"/>
      <c r="D3" s="1404"/>
      <c r="E3" s="1404"/>
      <c r="F3" s="1404"/>
      <c r="G3" s="1404"/>
      <c r="H3" s="1404"/>
      <c r="I3" s="1404"/>
      <c r="J3" s="1404"/>
      <c r="K3" s="1404"/>
      <c r="L3" s="1404"/>
      <c r="M3" s="1404"/>
      <c r="N3" s="1404"/>
      <c r="O3" s="1404"/>
      <c r="P3" s="1404"/>
      <c r="Q3" s="1404"/>
      <c r="R3" s="1404"/>
      <c r="S3" s="1404"/>
      <c r="T3" s="1404"/>
      <c r="U3" s="1404"/>
      <c r="V3" s="1404"/>
      <c r="W3" s="1404"/>
    </row>
    <row r="4" spans="1:255" ht="18" x14ac:dyDescent="0.25">
      <c r="A4" s="1547" t="s">
        <v>1084</v>
      </c>
      <c r="B4" s="1547"/>
      <c r="C4" s="1547"/>
      <c r="D4" s="1547"/>
      <c r="E4" s="1547"/>
      <c r="F4" s="1547"/>
      <c r="G4" s="1547"/>
      <c r="H4" s="1547"/>
      <c r="I4" s="1547"/>
      <c r="J4" s="1547"/>
      <c r="K4" s="1547"/>
      <c r="L4" s="1547"/>
      <c r="M4" s="1547"/>
      <c r="N4" s="1547"/>
      <c r="O4" s="1547"/>
      <c r="P4" s="1547"/>
      <c r="Q4" s="1547"/>
      <c r="R4" s="1547"/>
      <c r="S4" s="1547"/>
      <c r="T4" s="1547"/>
      <c r="U4" s="1547"/>
      <c r="V4" s="1547"/>
      <c r="W4" s="1547"/>
    </row>
    <row r="5" spans="1:255" ht="15" x14ac:dyDescent="0.25">
      <c r="V5" s="1546" t="s">
        <v>583</v>
      </c>
      <c r="W5" s="1546"/>
    </row>
    <row r="6" spans="1:255" x14ac:dyDescent="0.2">
      <c r="A6" s="1075" t="s">
        <v>456</v>
      </c>
      <c r="B6" s="1075"/>
      <c r="C6" s="1075"/>
    </row>
    <row r="7" spans="1:255" ht="18.75" customHeight="1" x14ac:dyDescent="0.2">
      <c r="A7" s="1545" t="s">
        <v>2</v>
      </c>
      <c r="B7" s="1545" t="s">
        <v>114</v>
      </c>
      <c r="C7" s="1538" t="s">
        <v>26</v>
      </c>
      <c r="D7" s="1539"/>
      <c r="E7" s="1539"/>
      <c r="F7" s="1539"/>
      <c r="G7" s="1539"/>
      <c r="H7" s="1539"/>
      <c r="I7" s="1539"/>
      <c r="J7" s="1539"/>
      <c r="K7" s="1540"/>
      <c r="L7" s="1538" t="s">
        <v>27</v>
      </c>
      <c r="M7" s="1539"/>
      <c r="N7" s="1539"/>
      <c r="O7" s="1539"/>
      <c r="P7" s="1539"/>
      <c r="Q7" s="1539"/>
      <c r="R7" s="1539"/>
      <c r="S7" s="1539"/>
      <c r="T7" s="1540"/>
      <c r="U7" s="1545" t="s">
        <v>154</v>
      </c>
      <c r="V7" s="1545"/>
      <c r="W7" s="1545"/>
      <c r="Y7" s="99"/>
      <c r="Z7" s="99"/>
      <c r="AA7" s="99"/>
      <c r="AB7" s="99"/>
      <c r="AC7" s="100"/>
      <c r="AD7" s="101"/>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c r="IR7" s="99"/>
      <c r="IS7" s="99"/>
      <c r="IT7" s="99"/>
      <c r="IU7" s="99"/>
    </row>
    <row r="8" spans="1:255" ht="18.75" customHeight="1" x14ac:dyDescent="0.2">
      <c r="A8" s="1545"/>
      <c r="B8" s="1545"/>
      <c r="C8" s="1541" t="s">
        <v>187</v>
      </c>
      <c r="D8" s="1542"/>
      <c r="E8" s="1543"/>
      <c r="F8" s="1541" t="s">
        <v>188</v>
      </c>
      <c r="G8" s="1542"/>
      <c r="H8" s="1543"/>
      <c r="I8" s="1541" t="s">
        <v>18</v>
      </c>
      <c r="J8" s="1542"/>
      <c r="K8" s="1543"/>
      <c r="L8" s="1541" t="s">
        <v>187</v>
      </c>
      <c r="M8" s="1542"/>
      <c r="N8" s="1543"/>
      <c r="O8" s="1541" t="s">
        <v>188</v>
      </c>
      <c r="P8" s="1542"/>
      <c r="Q8" s="1543"/>
      <c r="R8" s="1541" t="s">
        <v>18</v>
      </c>
      <c r="S8" s="1542"/>
      <c r="T8" s="1543"/>
      <c r="U8" s="1545"/>
      <c r="V8" s="1545"/>
      <c r="W8" s="1545"/>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c r="IR8" s="99"/>
      <c r="IS8" s="99"/>
      <c r="IT8" s="99"/>
      <c r="IU8" s="99"/>
    </row>
    <row r="9" spans="1:255" ht="18.75" customHeight="1" x14ac:dyDescent="0.2">
      <c r="A9" s="265"/>
      <c r="B9" s="265"/>
      <c r="C9" s="266" t="s">
        <v>277</v>
      </c>
      <c r="D9" s="267" t="s">
        <v>43</v>
      </c>
      <c r="E9" s="268" t="s">
        <v>44</v>
      </c>
      <c r="F9" s="266" t="s">
        <v>277</v>
      </c>
      <c r="G9" s="267" t="s">
        <v>43</v>
      </c>
      <c r="H9" s="268" t="s">
        <v>44</v>
      </c>
      <c r="I9" s="266" t="s">
        <v>277</v>
      </c>
      <c r="J9" s="267" t="s">
        <v>43</v>
      </c>
      <c r="K9" s="268" t="s">
        <v>44</v>
      </c>
      <c r="L9" s="266" t="s">
        <v>277</v>
      </c>
      <c r="M9" s="267" t="s">
        <v>43</v>
      </c>
      <c r="N9" s="268" t="s">
        <v>44</v>
      </c>
      <c r="O9" s="266" t="s">
        <v>277</v>
      </c>
      <c r="P9" s="267" t="s">
        <v>43</v>
      </c>
      <c r="Q9" s="268" t="s">
        <v>44</v>
      </c>
      <c r="R9" s="266" t="s">
        <v>277</v>
      </c>
      <c r="S9" s="267" t="s">
        <v>43</v>
      </c>
      <c r="T9" s="268" t="s">
        <v>44</v>
      </c>
      <c r="U9" s="265" t="s">
        <v>277</v>
      </c>
      <c r="V9" s="265" t="s">
        <v>43</v>
      </c>
      <c r="W9" s="265" t="s">
        <v>44</v>
      </c>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c r="IR9" s="99"/>
      <c r="IS9" s="99"/>
      <c r="IT9" s="99"/>
      <c r="IU9" s="99"/>
    </row>
    <row r="10" spans="1:255" ht="18.75" customHeight="1" x14ac:dyDescent="0.2">
      <c r="A10" s="265">
        <v>1</v>
      </c>
      <c r="B10" s="265">
        <v>2</v>
      </c>
      <c r="C10" s="265">
        <v>3</v>
      </c>
      <c r="D10" s="265">
        <v>4</v>
      </c>
      <c r="E10" s="265">
        <v>5</v>
      </c>
      <c r="F10" s="265">
        <v>6</v>
      </c>
      <c r="G10" s="265">
        <v>7</v>
      </c>
      <c r="H10" s="265">
        <v>8</v>
      </c>
      <c r="I10" s="265">
        <v>9</v>
      </c>
      <c r="J10" s="265">
        <v>10</v>
      </c>
      <c r="K10" s="265">
        <v>11</v>
      </c>
      <c r="L10" s="265">
        <v>12</v>
      </c>
      <c r="M10" s="265">
        <v>13</v>
      </c>
      <c r="N10" s="265">
        <v>14</v>
      </c>
      <c r="O10" s="265">
        <v>15</v>
      </c>
      <c r="P10" s="265">
        <v>16</v>
      </c>
      <c r="Q10" s="265">
        <v>17</v>
      </c>
      <c r="R10" s="265">
        <v>18</v>
      </c>
      <c r="S10" s="265">
        <v>19</v>
      </c>
      <c r="T10" s="265">
        <v>20</v>
      </c>
      <c r="U10" s="265">
        <v>21</v>
      </c>
      <c r="V10" s="265">
        <v>22</v>
      </c>
      <c r="W10" s="265">
        <v>23</v>
      </c>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c r="IO10" s="102"/>
      <c r="IP10" s="102"/>
      <c r="IQ10" s="102"/>
      <c r="IR10" s="102"/>
      <c r="IS10" s="102"/>
      <c r="IT10" s="102"/>
      <c r="IU10" s="102"/>
    </row>
    <row r="11" spans="1:255" ht="26.25" customHeight="1" x14ac:dyDescent="0.2">
      <c r="A11" s="1548" t="s">
        <v>267</v>
      </c>
      <c r="B11" s="1549"/>
      <c r="C11" s="500"/>
      <c r="D11" s="500"/>
      <c r="E11" s="500"/>
      <c r="F11" s="500"/>
      <c r="G11" s="500"/>
      <c r="H11" s="500"/>
      <c r="I11" s="500"/>
      <c r="J11" s="500"/>
      <c r="K11" s="500"/>
      <c r="L11" s="500"/>
      <c r="M11" s="500"/>
      <c r="N11" s="500"/>
      <c r="O11" s="500"/>
      <c r="P11" s="500"/>
      <c r="Q11" s="500"/>
      <c r="R11" s="500"/>
      <c r="S11" s="500"/>
      <c r="T11" s="500"/>
      <c r="U11" s="501"/>
      <c r="V11" s="502"/>
      <c r="W11" s="5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c r="IO11" s="102"/>
      <c r="IP11" s="102"/>
      <c r="IQ11" s="102"/>
      <c r="IR11" s="102"/>
      <c r="IS11" s="102"/>
      <c r="IT11" s="102"/>
      <c r="IU11" s="102"/>
    </row>
    <row r="12" spans="1:255" ht="39.950000000000003" customHeight="1" x14ac:dyDescent="0.2">
      <c r="A12" s="269">
        <v>1</v>
      </c>
      <c r="B12" s="269" t="s">
        <v>135</v>
      </c>
      <c r="C12" s="504">
        <v>194.75</v>
      </c>
      <c r="D12" s="504">
        <v>54.43</v>
      </c>
      <c r="E12" s="504">
        <v>8.16</v>
      </c>
      <c r="F12" s="504">
        <v>0</v>
      </c>
      <c r="G12" s="504">
        <v>0</v>
      </c>
      <c r="H12" s="504">
        <v>0</v>
      </c>
      <c r="I12" s="504">
        <f t="shared" ref="I12:K18" si="0">C12+F12</f>
        <v>194.75</v>
      </c>
      <c r="J12" s="504">
        <f t="shared" si="0"/>
        <v>54.43</v>
      </c>
      <c r="K12" s="504">
        <f t="shared" si="0"/>
        <v>8.16</v>
      </c>
      <c r="L12" s="504">
        <v>208.62</v>
      </c>
      <c r="M12" s="504">
        <v>58.3</v>
      </c>
      <c r="N12" s="504">
        <v>8.74</v>
      </c>
      <c r="O12" s="504">
        <v>0</v>
      </c>
      <c r="P12" s="504">
        <v>0</v>
      </c>
      <c r="Q12" s="504">
        <v>0</v>
      </c>
      <c r="R12" s="504">
        <f t="shared" ref="R12" si="1">L12+O12</f>
        <v>208.62</v>
      </c>
      <c r="S12" s="504">
        <f t="shared" ref="S12" si="2">M12+P12</f>
        <v>58.3</v>
      </c>
      <c r="T12" s="504">
        <f t="shared" ref="T12" si="3">N12+Q12</f>
        <v>8.74</v>
      </c>
      <c r="U12" s="504">
        <f>I12+R12</f>
        <v>403.37</v>
      </c>
      <c r="V12" s="504">
        <f>J12+S12</f>
        <v>112.72999999999999</v>
      </c>
      <c r="W12" s="504">
        <f>K12+T12</f>
        <v>16.899999999999999</v>
      </c>
      <c r="X12" s="276"/>
    </row>
    <row r="13" spans="1:255" ht="39.950000000000003" customHeight="1" x14ac:dyDescent="0.2">
      <c r="A13" s="269">
        <v>2</v>
      </c>
      <c r="B13" s="954" t="s">
        <v>573</v>
      </c>
      <c r="C13" s="504">
        <v>2214.0300000000002</v>
      </c>
      <c r="D13" s="504">
        <v>662.75</v>
      </c>
      <c r="E13" s="504">
        <v>103.26</v>
      </c>
      <c r="F13" s="504">
        <v>278.67</v>
      </c>
      <c r="G13" s="504">
        <v>77.88</v>
      </c>
      <c r="H13" s="504">
        <v>11.67</v>
      </c>
      <c r="I13" s="504">
        <f>C13+F13-0.01</f>
        <v>2492.69</v>
      </c>
      <c r="J13" s="504">
        <f t="shared" si="0"/>
        <v>740.63</v>
      </c>
      <c r="K13" s="504">
        <f>E13+H13+0.01</f>
        <v>114.94000000000001</v>
      </c>
      <c r="L13" s="504">
        <v>2552</v>
      </c>
      <c r="M13" s="504">
        <v>649.29999999999995</v>
      </c>
      <c r="N13" s="504">
        <v>96.17</v>
      </c>
      <c r="O13" s="504">
        <v>293.99</v>
      </c>
      <c r="P13" s="504">
        <v>82.16</v>
      </c>
      <c r="Q13" s="504">
        <v>12.31</v>
      </c>
      <c r="R13" s="504">
        <f t="shared" ref="R13:R21" si="4">L13+O13</f>
        <v>2845.99</v>
      </c>
      <c r="S13" s="504">
        <f t="shared" ref="S13:S21" si="5">M13+P13</f>
        <v>731.45999999999992</v>
      </c>
      <c r="T13" s="504">
        <f t="shared" ref="T13:T21" si="6">N13+Q13</f>
        <v>108.48</v>
      </c>
      <c r="U13" s="504">
        <f t="shared" ref="U13:U21" si="7">I13+R13</f>
        <v>5338.68</v>
      </c>
      <c r="V13" s="504">
        <f t="shared" ref="V13:V21" si="8">J13+S13</f>
        <v>1472.09</v>
      </c>
      <c r="W13" s="504">
        <f t="shared" ref="W13:W21" si="9">K13+T13</f>
        <v>223.42000000000002</v>
      </c>
      <c r="X13" s="276"/>
    </row>
    <row r="14" spans="1:255" ht="39.950000000000003" customHeight="1" x14ac:dyDescent="0.2">
      <c r="A14" s="269">
        <v>3</v>
      </c>
      <c r="B14" s="954" t="s">
        <v>139</v>
      </c>
      <c r="C14" s="504">
        <v>1278.94</v>
      </c>
      <c r="D14" s="504">
        <v>357.42</v>
      </c>
      <c r="E14" s="504">
        <v>53.57</v>
      </c>
      <c r="F14" s="504">
        <v>1563.15</v>
      </c>
      <c r="G14" s="504">
        <v>436.85</v>
      </c>
      <c r="H14" s="504">
        <v>65.48</v>
      </c>
      <c r="I14" s="504">
        <f t="shared" si="0"/>
        <v>2842.09</v>
      </c>
      <c r="J14" s="504">
        <f t="shared" si="0"/>
        <v>794.27</v>
      </c>
      <c r="K14" s="504">
        <f t="shared" si="0"/>
        <v>119.05000000000001</v>
      </c>
      <c r="L14" s="504">
        <v>709.05</v>
      </c>
      <c r="M14" s="504">
        <v>198.15</v>
      </c>
      <c r="N14" s="504">
        <v>29.7</v>
      </c>
      <c r="O14" s="504">
        <v>866.22</v>
      </c>
      <c r="P14" s="504">
        <v>242.19</v>
      </c>
      <c r="Q14" s="504">
        <v>36.299999999999997</v>
      </c>
      <c r="R14" s="504">
        <f t="shared" si="4"/>
        <v>1575.27</v>
      </c>
      <c r="S14" s="504">
        <f t="shared" si="5"/>
        <v>440.34000000000003</v>
      </c>
      <c r="T14" s="504">
        <f t="shared" si="6"/>
        <v>66</v>
      </c>
      <c r="U14" s="504">
        <f t="shared" si="7"/>
        <v>4417.3600000000006</v>
      </c>
      <c r="V14" s="504">
        <f t="shared" si="8"/>
        <v>1234.6100000000001</v>
      </c>
      <c r="W14" s="504">
        <f t="shared" si="9"/>
        <v>185.05</v>
      </c>
      <c r="X14" s="276"/>
    </row>
    <row r="15" spans="1:255" ht="39.950000000000003" customHeight="1" x14ac:dyDescent="0.2">
      <c r="A15" s="269">
        <v>4</v>
      </c>
      <c r="B15" s="265" t="s">
        <v>137</v>
      </c>
      <c r="C15" s="504">
        <v>159.38</v>
      </c>
      <c r="D15" s="504">
        <v>44.54</v>
      </c>
      <c r="E15" s="504">
        <v>6.68</v>
      </c>
      <c r="F15" s="504">
        <v>0</v>
      </c>
      <c r="G15" s="504">
        <v>0</v>
      </c>
      <c r="H15" s="504">
        <v>0</v>
      </c>
      <c r="I15" s="504">
        <f t="shared" si="0"/>
        <v>159.38</v>
      </c>
      <c r="J15" s="504">
        <f t="shared" si="0"/>
        <v>44.54</v>
      </c>
      <c r="K15" s="504">
        <f t="shared" si="0"/>
        <v>6.68</v>
      </c>
      <c r="L15" s="504">
        <v>170.73</v>
      </c>
      <c r="M15" s="504">
        <v>47.71</v>
      </c>
      <c r="N15" s="504">
        <v>7.15</v>
      </c>
      <c r="O15" s="504">
        <v>0</v>
      </c>
      <c r="P15" s="504">
        <v>0</v>
      </c>
      <c r="Q15" s="504">
        <v>0</v>
      </c>
      <c r="R15" s="504">
        <f t="shared" si="4"/>
        <v>170.73</v>
      </c>
      <c r="S15" s="504">
        <f t="shared" si="5"/>
        <v>47.71</v>
      </c>
      <c r="T15" s="504">
        <f t="shared" si="6"/>
        <v>7.15</v>
      </c>
      <c r="U15" s="504">
        <f t="shared" si="7"/>
        <v>330.11</v>
      </c>
      <c r="V15" s="504">
        <f t="shared" si="8"/>
        <v>92.25</v>
      </c>
      <c r="W15" s="504">
        <f t="shared" si="9"/>
        <v>13.83</v>
      </c>
      <c r="X15" s="276"/>
    </row>
    <row r="16" spans="1:255" ht="39.950000000000003" customHeight="1" x14ac:dyDescent="0.2">
      <c r="A16" s="269">
        <v>5</v>
      </c>
      <c r="B16" s="269" t="s">
        <v>138</v>
      </c>
      <c r="C16" s="504">
        <v>110.95</v>
      </c>
      <c r="D16" s="504">
        <v>31.01</v>
      </c>
      <c r="E16" s="504">
        <v>4.6500000000000004</v>
      </c>
      <c r="F16" s="504">
        <v>0</v>
      </c>
      <c r="G16" s="504">
        <v>0</v>
      </c>
      <c r="H16" s="504">
        <v>0</v>
      </c>
      <c r="I16" s="504">
        <f t="shared" si="0"/>
        <v>110.95</v>
      </c>
      <c r="J16" s="504">
        <f t="shared" si="0"/>
        <v>31.01</v>
      </c>
      <c r="K16" s="504">
        <f t="shared" si="0"/>
        <v>4.6500000000000004</v>
      </c>
      <c r="L16" s="504">
        <v>100.95</v>
      </c>
      <c r="M16" s="504">
        <v>28.21</v>
      </c>
      <c r="N16" s="504">
        <v>4.2300000000000004</v>
      </c>
      <c r="O16" s="504">
        <v>0</v>
      </c>
      <c r="P16" s="504">
        <v>0</v>
      </c>
      <c r="Q16" s="504">
        <v>0</v>
      </c>
      <c r="R16" s="504">
        <f t="shared" si="4"/>
        <v>100.95</v>
      </c>
      <c r="S16" s="504">
        <f t="shared" si="5"/>
        <v>28.21</v>
      </c>
      <c r="T16" s="504">
        <f t="shared" si="6"/>
        <v>4.2300000000000004</v>
      </c>
      <c r="U16" s="504">
        <f t="shared" si="7"/>
        <v>211.9</v>
      </c>
      <c r="V16" s="504">
        <f t="shared" si="8"/>
        <v>59.22</v>
      </c>
      <c r="W16" s="504">
        <f t="shared" si="9"/>
        <v>8.8800000000000008</v>
      </c>
      <c r="X16" s="276"/>
    </row>
    <row r="17" spans="1:24" ht="39.950000000000003" customHeight="1" x14ac:dyDescent="0.2">
      <c r="A17" s="269">
        <v>6</v>
      </c>
      <c r="B17" s="725" t="s">
        <v>776</v>
      </c>
      <c r="C17" s="504">
        <v>0</v>
      </c>
      <c r="D17" s="504">
        <v>0</v>
      </c>
      <c r="E17" s="504">
        <v>0</v>
      </c>
      <c r="F17" s="504">
        <v>142.1</v>
      </c>
      <c r="G17" s="504">
        <v>39.71</v>
      </c>
      <c r="H17" s="504">
        <v>5.95</v>
      </c>
      <c r="I17" s="504">
        <f t="shared" si="0"/>
        <v>142.1</v>
      </c>
      <c r="J17" s="504">
        <f t="shared" si="0"/>
        <v>39.71</v>
      </c>
      <c r="K17" s="504">
        <f t="shared" si="0"/>
        <v>5.95</v>
      </c>
      <c r="L17" s="504">
        <v>0</v>
      </c>
      <c r="M17" s="504">
        <v>0</v>
      </c>
      <c r="N17" s="504">
        <v>0</v>
      </c>
      <c r="O17" s="504">
        <v>78.78</v>
      </c>
      <c r="P17" s="504">
        <v>22.02</v>
      </c>
      <c r="Q17" s="504">
        <v>3.3</v>
      </c>
      <c r="R17" s="504">
        <f t="shared" si="4"/>
        <v>78.78</v>
      </c>
      <c r="S17" s="504">
        <f t="shared" si="5"/>
        <v>22.02</v>
      </c>
      <c r="T17" s="504">
        <f t="shared" si="6"/>
        <v>3.3</v>
      </c>
      <c r="U17" s="504">
        <f t="shared" si="7"/>
        <v>220.88</v>
      </c>
      <c r="V17" s="504">
        <f t="shared" si="8"/>
        <v>61.730000000000004</v>
      </c>
      <c r="W17" s="504">
        <f t="shared" si="9"/>
        <v>9.25</v>
      </c>
      <c r="X17" s="276"/>
    </row>
    <row r="18" spans="1:24" ht="39.950000000000003" customHeight="1" x14ac:dyDescent="0.2">
      <c r="A18" s="269">
        <v>7</v>
      </c>
      <c r="B18" s="954" t="s">
        <v>1119</v>
      </c>
      <c r="C18" s="504">
        <v>0</v>
      </c>
      <c r="D18" s="504">
        <v>0</v>
      </c>
      <c r="E18" s="504">
        <v>0</v>
      </c>
      <c r="F18" s="504">
        <v>142.1</v>
      </c>
      <c r="G18" s="504">
        <v>39.71</v>
      </c>
      <c r="H18" s="504">
        <v>5.95</v>
      </c>
      <c r="I18" s="504">
        <f t="shared" si="0"/>
        <v>142.1</v>
      </c>
      <c r="J18" s="504">
        <f t="shared" si="0"/>
        <v>39.71</v>
      </c>
      <c r="K18" s="504">
        <f t="shared" si="0"/>
        <v>5.95</v>
      </c>
      <c r="L18" s="504">
        <v>0</v>
      </c>
      <c r="M18" s="504">
        <v>0</v>
      </c>
      <c r="N18" s="504">
        <v>0</v>
      </c>
      <c r="O18" s="504">
        <v>78.78</v>
      </c>
      <c r="P18" s="504">
        <v>22.02</v>
      </c>
      <c r="Q18" s="504">
        <v>3.3</v>
      </c>
      <c r="R18" s="504">
        <f t="shared" si="4"/>
        <v>78.78</v>
      </c>
      <c r="S18" s="504">
        <f t="shared" si="5"/>
        <v>22.02</v>
      </c>
      <c r="T18" s="504">
        <f t="shared" si="6"/>
        <v>3.3</v>
      </c>
      <c r="U18" s="504">
        <f t="shared" si="7"/>
        <v>220.88</v>
      </c>
      <c r="V18" s="504">
        <f t="shared" si="8"/>
        <v>61.730000000000004</v>
      </c>
      <c r="W18" s="504">
        <f t="shared" si="9"/>
        <v>9.25</v>
      </c>
      <c r="X18" s="276"/>
    </row>
    <row r="19" spans="1:24" ht="39.950000000000003" customHeight="1" x14ac:dyDescent="0.2">
      <c r="A19" s="269">
        <v>8</v>
      </c>
      <c r="B19" s="954" t="s">
        <v>1120</v>
      </c>
      <c r="C19" s="504">
        <v>0</v>
      </c>
      <c r="D19" s="504">
        <v>0</v>
      </c>
      <c r="E19" s="504">
        <v>0</v>
      </c>
      <c r="F19" s="504">
        <v>525.6</v>
      </c>
      <c r="G19" s="504">
        <v>146.88999999999999</v>
      </c>
      <c r="H19" s="504">
        <v>22.02</v>
      </c>
      <c r="I19" s="504">
        <f t="shared" ref="I19:I21" si="10">C19+F19</f>
        <v>525.6</v>
      </c>
      <c r="J19" s="504">
        <f t="shared" ref="J19:J21" si="11">D19+G19</f>
        <v>146.88999999999999</v>
      </c>
      <c r="K19" s="504">
        <f t="shared" ref="K19:K21" si="12">E19+H19</f>
        <v>22.02</v>
      </c>
      <c r="L19" s="504">
        <v>0</v>
      </c>
      <c r="M19" s="504">
        <v>0</v>
      </c>
      <c r="N19" s="504">
        <v>0</v>
      </c>
      <c r="O19" s="504">
        <v>375.34</v>
      </c>
      <c r="P19" s="504">
        <v>104.9</v>
      </c>
      <c r="Q19" s="504">
        <v>15.72</v>
      </c>
      <c r="R19" s="504">
        <f t="shared" si="4"/>
        <v>375.34</v>
      </c>
      <c r="S19" s="504">
        <f t="shared" si="5"/>
        <v>104.9</v>
      </c>
      <c r="T19" s="504">
        <f t="shared" si="6"/>
        <v>15.72</v>
      </c>
      <c r="U19" s="504">
        <f t="shared" si="7"/>
        <v>900.94</v>
      </c>
      <c r="V19" s="504">
        <f t="shared" si="8"/>
        <v>251.79</v>
      </c>
      <c r="W19" s="504">
        <f t="shared" si="9"/>
        <v>37.74</v>
      </c>
      <c r="X19" s="276"/>
    </row>
    <row r="20" spans="1:24" ht="39.950000000000003" customHeight="1" x14ac:dyDescent="0.2">
      <c r="A20" s="269">
        <v>9</v>
      </c>
      <c r="B20" s="954" t="s">
        <v>1121</v>
      </c>
      <c r="C20" s="504">
        <v>0</v>
      </c>
      <c r="D20" s="504">
        <v>0</v>
      </c>
      <c r="E20" s="504">
        <v>0</v>
      </c>
      <c r="F20" s="504">
        <v>284.20999999999998</v>
      </c>
      <c r="G20" s="504">
        <v>79.430000000000007</v>
      </c>
      <c r="H20" s="504">
        <v>11.9</v>
      </c>
      <c r="I20" s="504">
        <f t="shared" si="10"/>
        <v>284.20999999999998</v>
      </c>
      <c r="J20" s="504">
        <f t="shared" si="11"/>
        <v>79.430000000000007</v>
      </c>
      <c r="K20" s="504">
        <f t="shared" si="12"/>
        <v>11.9</v>
      </c>
      <c r="L20" s="504">
        <v>0</v>
      </c>
      <c r="M20" s="504">
        <v>0</v>
      </c>
      <c r="N20" s="504">
        <v>0</v>
      </c>
      <c r="O20" s="504">
        <v>157.57</v>
      </c>
      <c r="P20" s="504">
        <v>44.03</v>
      </c>
      <c r="Q20" s="504">
        <v>6.6</v>
      </c>
      <c r="R20" s="504">
        <f t="shared" si="4"/>
        <v>157.57</v>
      </c>
      <c r="S20" s="504">
        <f t="shared" si="5"/>
        <v>44.03</v>
      </c>
      <c r="T20" s="504">
        <f t="shared" si="6"/>
        <v>6.6</v>
      </c>
      <c r="U20" s="504">
        <f t="shared" si="7"/>
        <v>441.78</v>
      </c>
      <c r="V20" s="504">
        <f t="shared" si="8"/>
        <v>123.46000000000001</v>
      </c>
      <c r="W20" s="504">
        <f t="shared" si="9"/>
        <v>18.5</v>
      </c>
      <c r="X20" s="276"/>
    </row>
    <row r="21" spans="1:24" ht="39.950000000000003" customHeight="1" x14ac:dyDescent="0.2">
      <c r="A21" s="269">
        <v>10</v>
      </c>
      <c r="B21" s="269" t="s">
        <v>434</v>
      </c>
      <c r="C21" s="504">
        <v>0</v>
      </c>
      <c r="D21" s="504">
        <v>0</v>
      </c>
      <c r="E21" s="504">
        <v>0</v>
      </c>
      <c r="F21" s="504">
        <v>30.27</v>
      </c>
      <c r="G21" s="504">
        <v>8.4600000000000009</v>
      </c>
      <c r="H21" s="504">
        <v>1.27</v>
      </c>
      <c r="I21" s="504">
        <f t="shared" si="10"/>
        <v>30.27</v>
      </c>
      <c r="J21" s="504">
        <f t="shared" si="11"/>
        <v>8.4600000000000009</v>
      </c>
      <c r="K21" s="504">
        <f t="shared" si="12"/>
        <v>1.27</v>
      </c>
      <c r="L21" s="504">
        <v>0</v>
      </c>
      <c r="M21" s="504">
        <v>0</v>
      </c>
      <c r="N21" s="504">
        <v>0</v>
      </c>
      <c r="O21" s="504">
        <v>0</v>
      </c>
      <c r="P21" s="504">
        <v>0</v>
      </c>
      <c r="Q21" s="504">
        <v>0</v>
      </c>
      <c r="R21" s="504">
        <f t="shared" si="4"/>
        <v>0</v>
      </c>
      <c r="S21" s="504">
        <f t="shared" si="5"/>
        <v>0</v>
      </c>
      <c r="T21" s="504">
        <f t="shared" si="6"/>
        <v>0</v>
      </c>
      <c r="U21" s="504">
        <f t="shared" si="7"/>
        <v>30.27</v>
      </c>
      <c r="V21" s="504">
        <f t="shared" si="8"/>
        <v>8.4600000000000009</v>
      </c>
      <c r="W21" s="504">
        <f t="shared" si="9"/>
        <v>1.27</v>
      </c>
      <c r="X21" s="276"/>
    </row>
    <row r="22" spans="1:24" ht="28.5" customHeight="1" x14ac:dyDescent="0.2">
      <c r="A22" s="1548" t="s">
        <v>268</v>
      </c>
      <c r="B22" s="1549"/>
      <c r="C22" s="503"/>
      <c r="D22" s="503"/>
      <c r="E22" s="503"/>
      <c r="F22" s="503"/>
      <c r="G22" s="503"/>
      <c r="H22" s="503"/>
      <c r="I22" s="504"/>
      <c r="J22" s="504"/>
      <c r="K22" s="504"/>
      <c r="L22" s="503"/>
      <c r="M22" s="503"/>
      <c r="N22" s="503"/>
      <c r="O22" s="503"/>
      <c r="P22" s="503"/>
      <c r="Q22" s="503"/>
      <c r="R22" s="504"/>
      <c r="S22" s="504"/>
      <c r="T22" s="504"/>
      <c r="U22" s="504"/>
      <c r="V22" s="504"/>
      <c r="W22" s="504"/>
      <c r="X22" s="276"/>
    </row>
    <row r="23" spans="1:24" ht="39.950000000000003" customHeight="1" x14ac:dyDescent="0.2">
      <c r="A23" s="269">
        <v>11</v>
      </c>
      <c r="B23" s="269" t="s">
        <v>140</v>
      </c>
      <c r="C23" s="504">
        <v>103.63</v>
      </c>
      <c r="D23" s="504">
        <v>28.96</v>
      </c>
      <c r="E23" s="504">
        <v>4.34</v>
      </c>
      <c r="F23" s="504">
        <v>11.51</v>
      </c>
      <c r="G23" s="504">
        <v>3.22</v>
      </c>
      <c r="H23" s="504">
        <v>0.48</v>
      </c>
      <c r="I23" s="504">
        <f t="shared" ref="I23:K23" si="13">C23+F23</f>
        <v>115.14</v>
      </c>
      <c r="J23" s="504">
        <f t="shared" si="13"/>
        <v>32.18</v>
      </c>
      <c r="K23" s="504">
        <f t="shared" si="13"/>
        <v>4.82</v>
      </c>
      <c r="L23" s="504">
        <v>0</v>
      </c>
      <c r="M23" s="504">
        <v>0</v>
      </c>
      <c r="N23" s="504">
        <v>0</v>
      </c>
      <c r="O23" s="504">
        <v>0</v>
      </c>
      <c r="P23" s="504">
        <v>0</v>
      </c>
      <c r="Q23" s="504">
        <v>0</v>
      </c>
      <c r="R23" s="504">
        <f t="shared" ref="R23:T23" si="14">L23+O23</f>
        <v>0</v>
      </c>
      <c r="S23" s="504">
        <f t="shared" si="14"/>
        <v>0</v>
      </c>
      <c r="T23" s="504">
        <f t="shared" si="14"/>
        <v>0</v>
      </c>
      <c r="U23" s="504">
        <f t="shared" ref="U23:W23" si="15">I23+R23</f>
        <v>115.14</v>
      </c>
      <c r="V23" s="504">
        <f t="shared" si="15"/>
        <v>32.18</v>
      </c>
      <c r="W23" s="504">
        <f t="shared" si="15"/>
        <v>4.82</v>
      </c>
      <c r="X23" s="276"/>
    </row>
    <row r="24" spans="1:24" ht="39.950000000000003" customHeight="1" x14ac:dyDescent="0.2">
      <c r="A24" s="269">
        <v>12</v>
      </c>
      <c r="B24" s="269" t="s">
        <v>141</v>
      </c>
      <c r="C24" s="504">
        <v>834.48</v>
      </c>
      <c r="D24" s="504">
        <v>233.21</v>
      </c>
      <c r="E24" s="504">
        <v>34.950000000000003</v>
      </c>
      <c r="F24" s="504">
        <v>92.72</v>
      </c>
      <c r="G24" s="504">
        <v>25.91</v>
      </c>
      <c r="H24" s="504">
        <v>3.88</v>
      </c>
      <c r="I24" s="504">
        <f t="shared" ref="I24:I25" si="16">C24+F24</f>
        <v>927.2</v>
      </c>
      <c r="J24" s="504">
        <f t="shared" ref="J24:J25" si="17">D24+G24</f>
        <v>259.12</v>
      </c>
      <c r="K24" s="504">
        <f t="shared" ref="K24:K26" si="18">E24+H24</f>
        <v>38.830000000000005</v>
      </c>
      <c r="L24" s="504">
        <v>0</v>
      </c>
      <c r="M24" s="504">
        <v>0</v>
      </c>
      <c r="N24" s="504">
        <v>0</v>
      </c>
      <c r="O24" s="504">
        <v>0</v>
      </c>
      <c r="P24" s="504">
        <v>0</v>
      </c>
      <c r="Q24" s="504">
        <v>0</v>
      </c>
      <c r="R24" s="504">
        <f t="shared" ref="R24:R26" si="19">L24+O24</f>
        <v>0</v>
      </c>
      <c r="S24" s="504">
        <f t="shared" ref="S24:S26" si="20">M24+P24</f>
        <v>0</v>
      </c>
      <c r="T24" s="504">
        <f t="shared" ref="T24:T26" si="21">N24+Q24</f>
        <v>0</v>
      </c>
      <c r="U24" s="504">
        <f t="shared" ref="U24:U26" si="22">I24+R24</f>
        <v>927.2</v>
      </c>
      <c r="V24" s="504">
        <f t="shared" ref="V24:V26" si="23">J24+S24</f>
        <v>259.12</v>
      </c>
      <c r="W24" s="504">
        <f t="shared" ref="W24:W26" si="24">K24+T24</f>
        <v>38.830000000000005</v>
      </c>
      <c r="X24" s="276"/>
    </row>
    <row r="25" spans="1:24" ht="39.950000000000003" customHeight="1" x14ac:dyDescent="0.2">
      <c r="A25" s="269">
        <v>13</v>
      </c>
      <c r="B25" s="801" t="s">
        <v>859</v>
      </c>
      <c r="C25" s="504">
        <v>272.16000000000003</v>
      </c>
      <c r="D25" s="504">
        <v>90.97</v>
      </c>
      <c r="E25" s="504">
        <v>11.54</v>
      </c>
      <c r="F25" s="504">
        <v>30.24</v>
      </c>
      <c r="G25" s="504">
        <v>10.11</v>
      </c>
      <c r="H25" s="504">
        <v>1.28</v>
      </c>
      <c r="I25" s="504">
        <f t="shared" si="16"/>
        <v>302.40000000000003</v>
      </c>
      <c r="J25" s="504">
        <f t="shared" si="17"/>
        <v>101.08</v>
      </c>
      <c r="K25" s="504">
        <f t="shared" si="18"/>
        <v>12.819999999999999</v>
      </c>
      <c r="L25" s="504">
        <v>52.89</v>
      </c>
      <c r="M25" s="504">
        <v>17.68</v>
      </c>
      <c r="N25" s="504">
        <v>2.2400000000000002</v>
      </c>
      <c r="O25" s="504">
        <v>5.88</v>
      </c>
      <c r="P25" s="504">
        <v>1.96</v>
      </c>
      <c r="Q25" s="504">
        <v>0.25</v>
      </c>
      <c r="R25" s="504">
        <f t="shared" si="19"/>
        <v>58.77</v>
      </c>
      <c r="S25" s="504">
        <f t="shared" si="20"/>
        <v>19.64</v>
      </c>
      <c r="T25" s="504">
        <f t="shared" si="21"/>
        <v>2.4900000000000002</v>
      </c>
      <c r="U25" s="504">
        <f t="shared" si="22"/>
        <v>361.17</v>
      </c>
      <c r="V25" s="504">
        <f t="shared" si="23"/>
        <v>120.72</v>
      </c>
      <c r="W25" s="504">
        <f t="shared" si="24"/>
        <v>15.309999999999999</v>
      </c>
      <c r="X25" s="276"/>
    </row>
    <row r="26" spans="1:24" ht="39.950000000000003" customHeight="1" x14ac:dyDescent="0.2">
      <c r="A26" s="269">
        <v>14</v>
      </c>
      <c r="B26" s="804" t="s">
        <v>860</v>
      </c>
      <c r="C26" s="504">
        <v>390.31</v>
      </c>
      <c r="D26" s="504">
        <v>109.92</v>
      </c>
      <c r="E26" s="504">
        <v>16.95</v>
      </c>
      <c r="F26" s="504">
        <v>0</v>
      </c>
      <c r="G26" s="504">
        <v>0</v>
      </c>
      <c r="H26" s="504">
        <v>0</v>
      </c>
      <c r="I26" s="504">
        <f>C26+F26+0.01</f>
        <v>390.32</v>
      </c>
      <c r="J26" s="504">
        <f>D26+G26-0.01</f>
        <v>109.91</v>
      </c>
      <c r="K26" s="504">
        <f t="shared" si="18"/>
        <v>16.95</v>
      </c>
      <c r="L26" s="504">
        <v>0</v>
      </c>
      <c r="M26" s="504">
        <v>0</v>
      </c>
      <c r="N26" s="504">
        <v>0</v>
      </c>
      <c r="O26" s="504">
        <v>0</v>
      </c>
      <c r="P26" s="504">
        <v>0</v>
      </c>
      <c r="Q26" s="504">
        <v>0</v>
      </c>
      <c r="R26" s="504">
        <f t="shared" si="19"/>
        <v>0</v>
      </c>
      <c r="S26" s="504">
        <f t="shared" si="20"/>
        <v>0</v>
      </c>
      <c r="T26" s="504">
        <f t="shared" si="21"/>
        <v>0</v>
      </c>
      <c r="U26" s="504">
        <f t="shared" si="22"/>
        <v>390.32</v>
      </c>
      <c r="V26" s="504">
        <f t="shared" si="23"/>
        <v>109.91</v>
      </c>
      <c r="W26" s="504">
        <f t="shared" si="24"/>
        <v>16.95</v>
      </c>
      <c r="X26" s="276"/>
    </row>
    <row r="27" spans="1:24" s="102" customFormat="1" ht="39.950000000000003" customHeight="1" x14ac:dyDescent="0.2">
      <c r="A27" s="269" t="s">
        <v>18</v>
      </c>
      <c r="B27" s="269"/>
      <c r="C27" s="505">
        <f>C12+C13+C14+C15+C16+C17+C18+C19+C20+C21+C23+C24+C25+C26</f>
        <v>5558.63</v>
      </c>
      <c r="D27" s="505">
        <f t="shared" ref="D27:W27" si="25">D12+D13+D14+D15+D16+D17+D18+D19+D20+D21+D23+D24+D25+D26</f>
        <v>1613.21</v>
      </c>
      <c r="E27" s="505">
        <f t="shared" si="25"/>
        <v>244.1</v>
      </c>
      <c r="F27" s="505">
        <f t="shared" si="25"/>
        <v>3100.5699999999997</v>
      </c>
      <c r="G27" s="505">
        <f t="shared" si="25"/>
        <v>868.17000000000007</v>
      </c>
      <c r="H27" s="505">
        <f t="shared" si="25"/>
        <v>129.88000000000002</v>
      </c>
      <c r="I27" s="505">
        <f>I12+I13+I14+I15+I16+I17+I18+I19+I20+I21+I23+I24+I25+I26</f>
        <v>8659.2000000000025</v>
      </c>
      <c r="J27" s="505">
        <f t="shared" si="25"/>
        <v>2481.37</v>
      </c>
      <c r="K27" s="505">
        <f t="shared" si="25"/>
        <v>373.98999999999995</v>
      </c>
      <c r="L27" s="505">
        <f t="shared" si="25"/>
        <v>3794.24</v>
      </c>
      <c r="M27" s="505">
        <f t="shared" si="25"/>
        <v>999.34999999999991</v>
      </c>
      <c r="N27" s="505">
        <f t="shared" si="25"/>
        <v>148.22999999999999</v>
      </c>
      <c r="O27" s="505">
        <f t="shared" si="25"/>
        <v>1856.56</v>
      </c>
      <c r="P27" s="505">
        <f t="shared" si="25"/>
        <v>519.28</v>
      </c>
      <c r="Q27" s="505">
        <f t="shared" si="25"/>
        <v>77.779999999999987</v>
      </c>
      <c r="R27" s="505">
        <f t="shared" si="25"/>
        <v>5650.7999999999984</v>
      </c>
      <c r="S27" s="505">
        <f t="shared" si="25"/>
        <v>1518.63</v>
      </c>
      <c r="T27" s="505">
        <f t="shared" si="25"/>
        <v>226.01000000000002</v>
      </c>
      <c r="U27" s="505">
        <f t="shared" si="25"/>
        <v>14310</v>
      </c>
      <c r="V27" s="505">
        <f t="shared" si="25"/>
        <v>3999.9999999999995</v>
      </c>
      <c r="W27" s="505">
        <f t="shared" si="25"/>
        <v>600</v>
      </c>
      <c r="X27" s="276"/>
    </row>
    <row r="28" spans="1:24" x14ac:dyDescent="0.2">
      <c r="A28" s="103"/>
      <c r="B28" s="103"/>
    </row>
    <row r="32" spans="1:24" x14ac:dyDescent="0.2">
      <c r="A32" s="1550"/>
      <c r="B32" s="1550"/>
      <c r="C32" s="1550"/>
      <c r="D32" s="1550"/>
      <c r="E32" s="1550"/>
      <c r="F32" s="1550"/>
      <c r="G32" s="1550"/>
      <c r="H32" s="1550"/>
      <c r="I32" s="1550"/>
      <c r="J32" s="104"/>
      <c r="K32" s="104"/>
      <c r="L32" s="104"/>
      <c r="M32" s="104"/>
      <c r="N32" s="104"/>
      <c r="O32" s="1550"/>
      <c r="P32" s="1550"/>
      <c r="Q32" s="1550"/>
      <c r="R32" s="1550"/>
      <c r="S32" s="1550"/>
      <c r="T32" s="1550"/>
      <c r="U32" s="1550"/>
    </row>
    <row r="34" spans="1:23" ht="15.75" x14ac:dyDescent="0.25">
      <c r="A34" s="63" t="s">
        <v>11</v>
      </c>
      <c r="B34" s="63"/>
      <c r="C34" s="63"/>
      <c r="D34" s="63"/>
      <c r="E34" s="63"/>
      <c r="F34" s="63"/>
      <c r="G34" s="63"/>
      <c r="H34" s="63"/>
      <c r="I34" s="63"/>
      <c r="J34" s="48"/>
      <c r="K34" s="84"/>
      <c r="L34" s="507"/>
      <c r="M34" s="507"/>
      <c r="N34" s="508"/>
      <c r="O34" s="507"/>
      <c r="P34" s="507"/>
      <c r="Q34" s="507"/>
      <c r="R34" s="506"/>
      <c r="S34" s="506"/>
      <c r="T34" s="506"/>
      <c r="U34" s="1386" t="s">
        <v>12</v>
      </c>
      <c r="V34" s="1386"/>
      <c r="W34" s="507"/>
    </row>
    <row r="35" spans="1:23" ht="15.75" customHeight="1" x14ac:dyDescent="0.2">
      <c r="A35" s="1124" t="s">
        <v>13</v>
      </c>
      <c r="B35" s="1124"/>
      <c r="C35" s="1124"/>
      <c r="D35" s="1124"/>
      <c r="E35" s="1124"/>
      <c r="F35" s="1124"/>
      <c r="G35" s="1124"/>
      <c r="H35" s="1124"/>
      <c r="I35" s="1124"/>
      <c r="J35" s="1124"/>
      <c r="K35" s="1124"/>
      <c r="L35" s="1124"/>
      <c r="M35" s="1124"/>
      <c r="N35" s="1124"/>
      <c r="O35" s="1124"/>
      <c r="P35" s="1124"/>
      <c r="Q35" s="1124"/>
      <c r="R35" s="1124"/>
      <c r="S35" s="1124"/>
      <c r="T35" s="1124"/>
      <c r="U35" s="1124"/>
      <c r="V35" s="1124"/>
      <c r="W35" s="1124"/>
    </row>
    <row r="36" spans="1:23" ht="15.75" customHeight="1" x14ac:dyDescent="0.2">
      <c r="A36" s="1124" t="s">
        <v>14</v>
      </c>
      <c r="B36" s="1124"/>
      <c r="C36" s="1124"/>
      <c r="D36" s="1124"/>
      <c r="E36" s="1124"/>
      <c r="F36" s="1124"/>
      <c r="G36" s="1124"/>
      <c r="H36" s="1124"/>
      <c r="I36" s="1124"/>
      <c r="J36" s="1124"/>
      <c r="K36" s="1124"/>
      <c r="L36" s="1124"/>
      <c r="M36" s="1124"/>
      <c r="N36" s="1124"/>
      <c r="O36" s="1124"/>
      <c r="P36" s="1124"/>
      <c r="Q36" s="1124"/>
      <c r="R36" s="1124"/>
      <c r="S36" s="1124"/>
      <c r="T36" s="1124"/>
      <c r="U36" s="1124"/>
      <c r="V36" s="1124"/>
      <c r="W36" s="1124"/>
    </row>
    <row r="37" spans="1:23" ht="15.75" x14ac:dyDescent="0.25">
      <c r="A37" s="508"/>
      <c r="B37" s="508"/>
      <c r="C37" s="508"/>
      <c r="D37" s="508"/>
      <c r="E37" s="508"/>
      <c r="F37" s="508"/>
      <c r="G37" s="48"/>
      <c r="H37" s="48"/>
      <c r="I37" s="48"/>
      <c r="J37" s="48"/>
      <c r="K37" s="48"/>
      <c r="L37" s="507"/>
      <c r="M37" s="69"/>
      <c r="N37" s="69"/>
      <c r="O37" s="507"/>
      <c r="P37" s="507"/>
      <c r="Q37" s="507"/>
      <c r="R37" s="509"/>
      <c r="S37" s="69" t="s">
        <v>84</v>
      </c>
      <c r="T37" s="509"/>
      <c r="U37" s="509"/>
      <c r="V37" s="509"/>
      <c r="W37" s="509"/>
    </row>
  </sheetData>
  <mergeCells count="24">
    <mergeCell ref="A35:W35"/>
    <mergeCell ref="A36:W36"/>
    <mergeCell ref="F8:H8"/>
    <mergeCell ref="O8:Q8"/>
    <mergeCell ref="A2:W2"/>
    <mergeCell ref="A3:W3"/>
    <mergeCell ref="A4:W4"/>
    <mergeCell ref="A6:C6"/>
    <mergeCell ref="U34:V34"/>
    <mergeCell ref="A11:B11"/>
    <mergeCell ref="A22:B22"/>
    <mergeCell ref="A32:I32"/>
    <mergeCell ref="O32:U32"/>
    <mergeCell ref="B7:B8"/>
    <mergeCell ref="A7:A8"/>
    <mergeCell ref="C7:K7"/>
    <mergeCell ref="L7:T7"/>
    <mergeCell ref="C8:E8"/>
    <mergeCell ref="V1:W1"/>
    <mergeCell ref="U7:W8"/>
    <mergeCell ref="R8:T8"/>
    <mergeCell ref="I8:K8"/>
    <mergeCell ref="L8:N8"/>
    <mergeCell ref="V5:W5"/>
  </mergeCells>
  <pageMargins left="0.49" right="0.36" top="0.31496062992125984" bottom="0" header="0.31496062992125984" footer="0.23622047244094491"/>
  <pageSetup paperSize="9" scale="57" orientation="landscape" r:id="rId1"/>
  <colBreaks count="1" manualBreakCount="1">
    <brk id="2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pageSetUpPr fitToPage="1"/>
  </sheetPr>
  <dimension ref="A2:J32"/>
  <sheetViews>
    <sheetView view="pageBreakPreview" topLeftCell="A12" zoomScaleSheetLayoutView="100" workbookViewId="0">
      <selection activeCell="E30" sqref="E30"/>
    </sheetView>
  </sheetViews>
  <sheetFormatPr defaultRowHeight="12.75" x14ac:dyDescent="0.2"/>
  <cols>
    <col min="1" max="1" width="8.28515625" customWidth="1"/>
    <col min="2" max="2" width="13.140625" customWidth="1"/>
    <col min="3" max="3" width="14.42578125" customWidth="1"/>
    <col min="4" max="4" width="14.85546875" customWidth="1"/>
    <col min="5" max="5" width="18.42578125" customWidth="1"/>
    <col min="6" max="6" width="17.140625" customWidth="1"/>
    <col min="7" max="7" width="19" customWidth="1"/>
    <col min="8" max="8" width="28.5703125" customWidth="1"/>
  </cols>
  <sheetData>
    <row r="2" spans="1:10" ht="11.25" customHeight="1" x14ac:dyDescent="0.35">
      <c r="A2" s="127"/>
      <c r="B2" s="127"/>
      <c r="C2" s="127"/>
      <c r="D2" s="127"/>
      <c r="E2" s="127"/>
      <c r="F2" s="127"/>
      <c r="G2" s="127"/>
      <c r="H2" s="452" t="s">
        <v>280</v>
      </c>
    </row>
    <row r="3" spans="1:10" ht="15.75" x14ac:dyDescent="0.25">
      <c r="A3" s="1131" t="s">
        <v>58</v>
      </c>
      <c r="B3" s="1131"/>
      <c r="C3" s="1131"/>
      <c r="D3" s="1131"/>
      <c r="E3" s="1131"/>
      <c r="F3" s="1131"/>
      <c r="G3" s="1131"/>
      <c r="H3" s="1131"/>
    </row>
    <row r="4" spans="1:10" ht="15.75" x14ac:dyDescent="0.25">
      <c r="A4" s="1131" t="s">
        <v>788</v>
      </c>
      <c r="B4" s="1131"/>
      <c r="C4" s="1131"/>
      <c r="D4" s="1131"/>
      <c r="E4" s="1131"/>
      <c r="F4" s="1131"/>
      <c r="G4" s="1131"/>
      <c r="H4" s="1131"/>
    </row>
    <row r="5" spans="1:10" ht="18" customHeight="1" x14ac:dyDescent="0.3">
      <c r="A5" s="1132" t="s">
        <v>790</v>
      </c>
      <c r="B5" s="1132"/>
      <c r="C5" s="1132"/>
      <c r="D5" s="1132"/>
      <c r="E5" s="1132"/>
      <c r="F5" s="1132"/>
      <c r="G5" s="1132"/>
      <c r="H5" s="1132"/>
    </row>
    <row r="6" spans="1:10" ht="8.25" customHeight="1" x14ac:dyDescent="0.2"/>
    <row r="7" spans="1:10" x14ac:dyDescent="0.2">
      <c r="A7" s="450" t="s">
        <v>456</v>
      </c>
      <c r="B7" s="450"/>
      <c r="C7" s="450"/>
      <c r="D7" s="451"/>
      <c r="E7" s="451"/>
      <c r="F7" s="451"/>
      <c r="G7" s="1133" t="s">
        <v>791</v>
      </c>
      <c r="H7" s="1133"/>
    </row>
    <row r="8" spans="1:10" ht="55.5" customHeight="1" x14ac:dyDescent="0.2">
      <c r="A8" s="226" t="s">
        <v>2</v>
      </c>
      <c r="B8" s="226" t="s">
        <v>3</v>
      </c>
      <c r="C8" s="448" t="s">
        <v>281</v>
      </c>
      <c r="D8" s="448" t="s">
        <v>282</v>
      </c>
      <c r="E8" s="448" t="s">
        <v>283</v>
      </c>
      <c r="F8" s="449" t="s">
        <v>284</v>
      </c>
      <c r="G8" s="449" t="s">
        <v>285</v>
      </c>
      <c r="H8" s="136" t="s">
        <v>286</v>
      </c>
    </row>
    <row r="9" spans="1:10" s="110" customFormat="1" ht="15" x14ac:dyDescent="0.25">
      <c r="A9" s="218" t="s">
        <v>287</v>
      </c>
      <c r="B9" s="218" t="s">
        <v>288</v>
      </c>
      <c r="C9" s="218" t="s">
        <v>289</v>
      </c>
      <c r="D9" s="218" t="s">
        <v>290</v>
      </c>
      <c r="E9" s="218" t="s">
        <v>291</v>
      </c>
      <c r="F9" s="218" t="s">
        <v>292</v>
      </c>
      <c r="G9" s="218" t="s">
        <v>293</v>
      </c>
      <c r="H9" s="218" t="s">
        <v>294</v>
      </c>
    </row>
    <row r="10" spans="1:10" ht="24.95" customHeight="1" x14ac:dyDescent="0.2">
      <c r="A10" s="188">
        <v>1</v>
      </c>
      <c r="B10" s="219" t="s">
        <v>386</v>
      </c>
      <c r="C10" s="220">
        <v>1418</v>
      </c>
      <c r="D10" s="220">
        <v>500</v>
      </c>
      <c r="E10" s="220">
        <v>3</v>
      </c>
      <c r="F10" s="220">
        <f>C10+D10+E10</f>
        <v>1921</v>
      </c>
      <c r="G10" s="331">
        <v>1797</v>
      </c>
      <c r="H10" s="417" t="s">
        <v>818</v>
      </c>
    </row>
    <row r="11" spans="1:10" ht="24.95" customHeight="1" x14ac:dyDescent="0.2">
      <c r="A11" s="188">
        <v>2</v>
      </c>
      <c r="B11" s="219" t="s">
        <v>387</v>
      </c>
      <c r="C11" s="220">
        <v>611</v>
      </c>
      <c r="D11" s="220">
        <v>226</v>
      </c>
      <c r="E11" s="220">
        <v>0</v>
      </c>
      <c r="F11" s="220">
        <f t="shared" ref="F11:F22" si="0">C11+D11+E11</f>
        <v>837</v>
      </c>
      <c r="G11" s="331">
        <v>796</v>
      </c>
      <c r="H11" s="333" t="s">
        <v>813</v>
      </c>
    </row>
    <row r="12" spans="1:10" ht="24.95" customHeight="1" x14ac:dyDescent="0.2">
      <c r="A12" s="188">
        <v>3</v>
      </c>
      <c r="B12" s="219" t="s">
        <v>388</v>
      </c>
      <c r="C12" s="220">
        <v>1039</v>
      </c>
      <c r="D12" s="220">
        <v>429</v>
      </c>
      <c r="E12" s="220">
        <v>0</v>
      </c>
      <c r="F12" s="220">
        <f t="shared" si="0"/>
        <v>1468</v>
      </c>
      <c r="G12" s="331">
        <v>1406</v>
      </c>
      <c r="H12" s="333" t="s">
        <v>814</v>
      </c>
      <c r="J12" s="707"/>
    </row>
    <row r="13" spans="1:10" ht="24.95" customHeight="1" x14ac:dyDescent="0.2">
      <c r="A13" s="188">
        <v>4</v>
      </c>
      <c r="B13" s="219" t="s">
        <v>389</v>
      </c>
      <c r="C13" s="220">
        <v>516</v>
      </c>
      <c r="D13" s="220">
        <v>202</v>
      </c>
      <c r="E13" s="220">
        <v>0</v>
      </c>
      <c r="F13" s="220">
        <f t="shared" si="0"/>
        <v>718</v>
      </c>
      <c r="G13" s="331">
        <v>688</v>
      </c>
      <c r="H13" s="333" t="s">
        <v>739</v>
      </c>
      <c r="J13" s="707"/>
    </row>
    <row r="14" spans="1:10" ht="24.95" customHeight="1" x14ac:dyDescent="0.2">
      <c r="A14" s="188">
        <v>5</v>
      </c>
      <c r="B14" s="221" t="s">
        <v>390</v>
      </c>
      <c r="C14" s="220">
        <v>999</v>
      </c>
      <c r="D14" s="220">
        <v>477</v>
      </c>
      <c r="E14" s="220">
        <v>23</v>
      </c>
      <c r="F14" s="220">
        <f t="shared" si="0"/>
        <v>1499</v>
      </c>
      <c r="G14" s="331">
        <v>1443</v>
      </c>
      <c r="H14" s="333"/>
      <c r="J14" s="707"/>
    </row>
    <row r="15" spans="1:10" ht="24.95" customHeight="1" x14ac:dyDescent="0.2">
      <c r="A15" s="188">
        <v>6</v>
      </c>
      <c r="B15" s="219" t="s">
        <v>391</v>
      </c>
      <c r="C15" s="220">
        <v>751</v>
      </c>
      <c r="D15" s="220">
        <v>306</v>
      </c>
      <c r="E15" s="220">
        <v>37</v>
      </c>
      <c r="F15" s="220">
        <f t="shared" si="0"/>
        <v>1094</v>
      </c>
      <c r="G15" s="331">
        <v>1082</v>
      </c>
      <c r="H15" s="543"/>
    </row>
    <row r="16" spans="1:10" ht="24.95" customHeight="1" x14ac:dyDescent="0.2">
      <c r="A16" s="188">
        <v>7</v>
      </c>
      <c r="B16" s="221" t="s">
        <v>392</v>
      </c>
      <c r="C16" s="220">
        <v>996</v>
      </c>
      <c r="D16" s="220">
        <v>459</v>
      </c>
      <c r="E16" s="220">
        <v>6</v>
      </c>
      <c r="F16" s="220">
        <f t="shared" si="0"/>
        <v>1461</v>
      </c>
      <c r="G16" s="331">
        <v>1406</v>
      </c>
      <c r="H16" s="333"/>
    </row>
    <row r="17" spans="1:8" ht="24.95" customHeight="1" x14ac:dyDescent="0.2">
      <c r="A17" s="188">
        <v>8</v>
      </c>
      <c r="B17" s="219" t="s">
        <v>393</v>
      </c>
      <c r="C17" s="220">
        <v>1700</v>
      </c>
      <c r="D17" s="220">
        <v>676</v>
      </c>
      <c r="E17" s="220">
        <v>7</v>
      </c>
      <c r="F17" s="220">
        <f t="shared" si="0"/>
        <v>2383</v>
      </c>
      <c r="G17" s="331">
        <v>2146</v>
      </c>
      <c r="H17" s="417" t="s">
        <v>1124</v>
      </c>
    </row>
    <row r="18" spans="1:8" ht="24.95" customHeight="1" x14ac:dyDescent="0.2">
      <c r="A18" s="188">
        <v>9</v>
      </c>
      <c r="B18" s="219" t="s">
        <v>394</v>
      </c>
      <c r="C18" s="220">
        <v>1189</v>
      </c>
      <c r="D18" s="220">
        <v>452</v>
      </c>
      <c r="E18" s="220">
        <v>8</v>
      </c>
      <c r="F18" s="220">
        <f t="shared" si="0"/>
        <v>1649</v>
      </c>
      <c r="G18" s="331">
        <v>1532</v>
      </c>
      <c r="H18" s="333" t="s">
        <v>1125</v>
      </c>
    </row>
    <row r="19" spans="1:8" ht="24.95" customHeight="1" x14ac:dyDescent="0.2">
      <c r="A19" s="188">
        <v>10</v>
      </c>
      <c r="B19" s="219" t="s">
        <v>395</v>
      </c>
      <c r="C19" s="220">
        <v>569</v>
      </c>
      <c r="D19" s="220">
        <v>269</v>
      </c>
      <c r="E19" s="220">
        <v>0</v>
      </c>
      <c r="F19" s="220">
        <f t="shared" si="0"/>
        <v>838</v>
      </c>
      <c r="G19" s="331">
        <v>797</v>
      </c>
      <c r="H19" s="333" t="s">
        <v>741</v>
      </c>
    </row>
    <row r="20" spans="1:8" ht="24.95" customHeight="1" x14ac:dyDescent="0.2">
      <c r="A20" s="188">
        <v>11</v>
      </c>
      <c r="B20" s="219" t="s">
        <v>396</v>
      </c>
      <c r="C20" s="220">
        <v>1476</v>
      </c>
      <c r="D20" s="220">
        <v>609</v>
      </c>
      <c r="E20" s="220">
        <v>1</v>
      </c>
      <c r="F20" s="220">
        <f t="shared" si="0"/>
        <v>2086</v>
      </c>
      <c r="G20" s="331">
        <v>1921</v>
      </c>
      <c r="H20" s="333" t="s">
        <v>815</v>
      </c>
    </row>
    <row r="21" spans="1:8" ht="24.95" customHeight="1" x14ac:dyDescent="0.2">
      <c r="A21" s="188">
        <v>12</v>
      </c>
      <c r="B21" s="219" t="s">
        <v>397</v>
      </c>
      <c r="C21" s="220">
        <v>860</v>
      </c>
      <c r="D21" s="220">
        <v>415</v>
      </c>
      <c r="E21" s="220">
        <v>4</v>
      </c>
      <c r="F21" s="220">
        <f t="shared" si="0"/>
        <v>1279</v>
      </c>
      <c r="G21" s="331">
        <v>1276</v>
      </c>
      <c r="H21" s="333"/>
    </row>
    <row r="22" spans="1:8" ht="24.95" customHeight="1" x14ac:dyDescent="0.2">
      <c r="A22" s="188">
        <v>13</v>
      </c>
      <c r="B22" s="219" t="s">
        <v>398</v>
      </c>
      <c r="C22" s="220">
        <v>769</v>
      </c>
      <c r="D22" s="220">
        <v>342</v>
      </c>
      <c r="E22" s="220">
        <v>1</v>
      </c>
      <c r="F22" s="220">
        <f t="shared" si="0"/>
        <v>1112</v>
      </c>
      <c r="G22" s="331">
        <v>1054</v>
      </c>
      <c r="H22" s="333"/>
    </row>
    <row r="23" spans="1:8" ht="20.100000000000001" customHeight="1" x14ac:dyDescent="0.2">
      <c r="A23" s="188" t="s">
        <v>18</v>
      </c>
      <c r="B23" s="212"/>
      <c r="C23" s="188">
        <f>SUM(C10:C22)</f>
        <v>12893</v>
      </c>
      <c r="D23" s="188">
        <f>SUM(D10:D22)</f>
        <v>5362</v>
      </c>
      <c r="E23" s="188">
        <f>SUM(E10:E22)</f>
        <v>90</v>
      </c>
      <c r="F23" s="188">
        <f>SUM(F10:F22)</f>
        <v>18345</v>
      </c>
      <c r="G23" s="188">
        <f>SUM(G10:G22)</f>
        <v>17344</v>
      </c>
      <c r="H23" s="543"/>
    </row>
    <row r="24" spans="1:8" x14ac:dyDescent="0.2">
      <c r="A24" s="113" t="s">
        <v>295</v>
      </c>
    </row>
    <row r="25" spans="1:8" x14ac:dyDescent="0.2">
      <c r="A25" s="113"/>
      <c r="G25" s="974">
        <f>G23/F23</f>
        <v>0.94543472335786316</v>
      </c>
    </row>
    <row r="26" spans="1:8" x14ac:dyDescent="0.2">
      <c r="A26" s="113"/>
      <c r="C26" s="966" t="s">
        <v>1136</v>
      </c>
      <c r="D26">
        <v>12045</v>
      </c>
      <c r="E26" s="967">
        <v>12045</v>
      </c>
      <c r="G26" s="663"/>
    </row>
    <row r="27" spans="1:8" ht="13.5" customHeight="1" x14ac:dyDescent="0.2">
      <c r="C27" s="966" t="s">
        <v>1137</v>
      </c>
      <c r="D27">
        <v>5218</v>
      </c>
      <c r="E27">
        <v>5299</v>
      </c>
    </row>
    <row r="28" spans="1:8" x14ac:dyDescent="0.2">
      <c r="A28" s="114"/>
      <c r="B28" s="114"/>
      <c r="C28" s="114" t="s">
        <v>1138</v>
      </c>
      <c r="D28">
        <v>81</v>
      </c>
      <c r="E28" s="114">
        <v>0</v>
      </c>
      <c r="F28" s="11"/>
      <c r="G28" s="1073" t="s">
        <v>12</v>
      </c>
      <c r="H28" s="1073"/>
    </row>
    <row r="29" spans="1:8" x14ac:dyDescent="0.2">
      <c r="A29" s="114"/>
      <c r="B29" s="114"/>
      <c r="C29" s="114"/>
      <c r="D29" s="114">
        <f>D26+D27+D28</f>
        <v>17344</v>
      </c>
      <c r="E29" s="114">
        <f>E26+E27+E28</f>
        <v>17344</v>
      </c>
      <c r="F29" s="1073" t="s">
        <v>13</v>
      </c>
      <c r="G29" s="1073"/>
      <c r="H29" s="1073"/>
    </row>
    <row r="30" spans="1:8" x14ac:dyDescent="0.2">
      <c r="A30" s="114"/>
      <c r="B30" s="114"/>
      <c r="C30" s="114"/>
      <c r="D30" s="114"/>
      <c r="E30" s="114"/>
      <c r="F30" s="1073" t="s">
        <v>607</v>
      </c>
      <c r="G30" s="1073"/>
      <c r="H30" s="1073"/>
    </row>
    <row r="31" spans="1:8" x14ac:dyDescent="0.2">
      <c r="A31" s="114" t="s">
        <v>11</v>
      </c>
      <c r="C31" s="114"/>
      <c r="D31" s="114"/>
      <c r="E31" s="114"/>
      <c r="F31" s="11"/>
      <c r="G31" s="1" t="s">
        <v>84</v>
      </c>
      <c r="H31" s="1"/>
    </row>
    <row r="32" spans="1:8" x14ac:dyDescent="0.2">
      <c r="A32" s="114"/>
      <c r="B32" s="114"/>
      <c r="C32" s="114"/>
      <c r="D32" s="114"/>
      <c r="E32" s="114"/>
      <c r="F32" s="114"/>
      <c r="G32" s="114"/>
      <c r="H32" s="114"/>
    </row>
  </sheetData>
  <mergeCells count="7">
    <mergeCell ref="F30:H30"/>
    <mergeCell ref="A4:H4"/>
    <mergeCell ref="A3:H3"/>
    <mergeCell ref="A5:H5"/>
    <mergeCell ref="G7:H7"/>
    <mergeCell ref="G28:H28"/>
    <mergeCell ref="F29:H29"/>
  </mergeCells>
  <printOptions horizontalCentered="1"/>
  <pageMargins left="0.37" right="0.36" top="0.23622047244094491" bottom="0" header="0.31496062992125984" footer="0.31496062992125984"/>
  <pageSetup paperSize="9" scale="9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G23"/>
  <sheetViews>
    <sheetView workbookViewId="0">
      <selection activeCell="C6" sqref="C6"/>
    </sheetView>
  </sheetViews>
  <sheetFormatPr defaultRowHeight="12.75" x14ac:dyDescent="0.2"/>
  <cols>
    <col min="1" max="1" width="9.140625" style="55"/>
    <col min="2" max="2" width="24.42578125" style="55" customWidth="1"/>
    <col min="3" max="3" width="21.85546875" style="55" bestFit="1" customWidth="1"/>
    <col min="4" max="4" width="15.28515625" style="55" bestFit="1" customWidth="1"/>
    <col min="5" max="5" width="10.85546875" style="55" customWidth="1"/>
    <col min="6" max="6" width="10.28515625" style="55" customWidth="1"/>
    <col min="7" max="7" width="42.42578125" style="55" customWidth="1"/>
    <col min="8" max="16384" width="9.140625" style="55"/>
  </cols>
  <sheetData>
    <row r="1" spans="1:7" ht="18" x14ac:dyDescent="0.25">
      <c r="A1" s="1564" t="s">
        <v>431</v>
      </c>
      <c r="B1" s="1564"/>
      <c r="C1" s="1564"/>
      <c r="D1" s="1564"/>
      <c r="E1" s="1564"/>
      <c r="F1" s="1564"/>
      <c r="G1" s="1564"/>
    </row>
    <row r="2" spans="1:7" ht="15.75" thickBot="1" x14ac:dyDescent="0.3">
      <c r="A2" s="141" t="s">
        <v>404</v>
      </c>
      <c r="B2" s="56"/>
      <c r="C2" s="56"/>
      <c r="D2" s="56"/>
      <c r="E2" s="56"/>
      <c r="F2" s="56"/>
      <c r="G2" s="56" t="s">
        <v>405</v>
      </c>
    </row>
    <row r="3" spans="1:7" ht="26.25" thickBot="1" x14ac:dyDescent="0.25">
      <c r="A3" s="142" t="s">
        <v>406</v>
      </c>
      <c r="B3" s="143" t="s">
        <v>407</v>
      </c>
      <c r="C3" s="142" t="s">
        <v>408</v>
      </c>
      <c r="D3" s="144" t="s">
        <v>409</v>
      </c>
      <c r="E3" s="145" t="s">
        <v>410</v>
      </c>
      <c r="F3" s="146" t="s">
        <v>18</v>
      </c>
      <c r="G3" s="147" t="s">
        <v>411</v>
      </c>
    </row>
    <row r="4" spans="1:7" ht="24.95" customHeight="1" x14ac:dyDescent="0.2">
      <c r="A4" s="1552">
        <v>1</v>
      </c>
      <c r="B4" s="1565" t="s">
        <v>412</v>
      </c>
      <c r="C4" s="148" t="s">
        <v>458</v>
      </c>
      <c r="D4" s="149">
        <f>AT27_Req_FG_CA_Pry!Q23</f>
        <v>0</v>
      </c>
      <c r="E4" s="150">
        <f>AT27_Req_FG_CA_Pry!R23</f>
        <v>0</v>
      </c>
      <c r="F4" s="149">
        <f>D4+E4</f>
        <v>0</v>
      </c>
      <c r="G4" s="168" t="s">
        <v>432</v>
      </c>
    </row>
    <row r="5" spans="1:7" ht="24.95" customHeight="1" x14ac:dyDescent="0.2">
      <c r="A5" s="1552"/>
      <c r="B5" s="1565"/>
      <c r="C5" s="148" t="s">
        <v>422</v>
      </c>
      <c r="D5" s="149">
        <v>0</v>
      </c>
      <c r="E5" s="150">
        <v>0</v>
      </c>
      <c r="F5" s="149">
        <f>D5+E5</f>
        <v>0</v>
      </c>
      <c r="G5" s="151"/>
    </row>
    <row r="6" spans="1:7" ht="24.95" customHeight="1" x14ac:dyDescent="0.2">
      <c r="A6" s="1561"/>
      <c r="B6" s="1566"/>
      <c r="C6" s="152" t="s">
        <v>459</v>
      </c>
      <c r="D6" s="153">
        <f>AT27A_Req_FG_CA_UPry!Q23</f>
        <v>0</v>
      </c>
      <c r="E6" s="150">
        <f>AT27A_Req_FG_CA_UPry!R23</f>
        <v>0</v>
      </c>
      <c r="F6" s="149">
        <f>D6+E6</f>
        <v>0</v>
      </c>
      <c r="G6" s="167" t="s">
        <v>433</v>
      </c>
    </row>
    <row r="7" spans="1:7" ht="24.95" customHeight="1" x14ac:dyDescent="0.2">
      <c r="A7" s="1551">
        <v>2</v>
      </c>
      <c r="B7" s="1553" t="s">
        <v>435</v>
      </c>
      <c r="C7" s="170" t="s">
        <v>436</v>
      </c>
      <c r="D7" s="153">
        <v>694.91</v>
      </c>
      <c r="E7" s="150">
        <v>231.64</v>
      </c>
      <c r="F7" s="149">
        <f>D7+E7</f>
        <v>926.55</v>
      </c>
      <c r="G7" s="1570" t="s">
        <v>437</v>
      </c>
    </row>
    <row r="8" spans="1:7" ht="24.95" customHeight="1" x14ac:dyDescent="0.2">
      <c r="A8" s="1552"/>
      <c r="B8" s="1554"/>
      <c r="C8" s="170" t="s">
        <v>438</v>
      </c>
      <c r="D8" s="153">
        <v>183.56</v>
      </c>
      <c r="E8" s="150">
        <v>61.19</v>
      </c>
      <c r="F8" s="149">
        <f>D8+E8</f>
        <v>244.75</v>
      </c>
      <c r="G8" s="1571"/>
    </row>
    <row r="9" spans="1:7" ht="24.95" customHeight="1" x14ac:dyDescent="0.2">
      <c r="A9" s="1551">
        <v>3</v>
      </c>
      <c r="B9" s="1553" t="s">
        <v>413</v>
      </c>
      <c r="C9" s="1567" t="s">
        <v>425</v>
      </c>
      <c r="D9" s="153">
        <v>0</v>
      </c>
      <c r="E9" s="154">
        <v>0</v>
      </c>
      <c r="F9" s="153">
        <f t="shared" ref="F9:F17" si="0">SUM(D9:E9)</f>
        <v>0</v>
      </c>
      <c r="G9" s="1568" t="s">
        <v>430</v>
      </c>
    </row>
    <row r="10" spans="1:7" ht="24.95" customHeight="1" x14ac:dyDescent="0.2">
      <c r="A10" s="1552"/>
      <c r="B10" s="1554"/>
      <c r="C10" s="1558"/>
      <c r="D10" s="153">
        <v>0</v>
      </c>
      <c r="E10" s="154">
        <v>0</v>
      </c>
      <c r="F10" s="153">
        <v>0</v>
      </c>
      <c r="G10" s="1569"/>
    </row>
    <row r="11" spans="1:7" ht="24.95" customHeight="1" x14ac:dyDescent="0.2">
      <c r="A11" s="1551">
        <v>4</v>
      </c>
      <c r="B11" s="1553" t="s">
        <v>141</v>
      </c>
      <c r="C11" s="1557" t="s">
        <v>463</v>
      </c>
      <c r="D11" s="153">
        <v>0</v>
      </c>
      <c r="E11" s="154">
        <v>0</v>
      </c>
      <c r="F11" s="153">
        <f t="shared" si="0"/>
        <v>0</v>
      </c>
      <c r="G11" s="1559" t="s">
        <v>414</v>
      </c>
    </row>
    <row r="12" spans="1:7" ht="24.95" customHeight="1" x14ac:dyDescent="0.2">
      <c r="A12" s="1552"/>
      <c r="B12" s="1554"/>
      <c r="C12" s="1558"/>
      <c r="D12" s="153">
        <f>7899*5000/100000</f>
        <v>394.95</v>
      </c>
      <c r="E12" s="154">
        <v>0</v>
      </c>
      <c r="F12" s="153">
        <f t="shared" si="0"/>
        <v>394.95</v>
      </c>
      <c r="G12" s="1560"/>
    </row>
    <row r="13" spans="1:7" ht="24.95" customHeight="1" x14ac:dyDescent="0.2">
      <c r="A13" s="1561">
        <v>5</v>
      </c>
      <c r="B13" s="1562" t="s">
        <v>415</v>
      </c>
      <c r="C13" s="152" t="s">
        <v>426</v>
      </c>
      <c r="D13" s="153" t="e">
        <f>AT27_Req_FG_CA_Pry!#REF!</f>
        <v>#REF!</v>
      </c>
      <c r="E13" s="154">
        <v>0</v>
      </c>
      <c r="F13" s="153" t="e">
        <f t="shared" si="0"/>
        <v>#REF!</v>
      </c>
      <c r="G13" s="1559" t="s">
        <v>414</v>
      </c>
    </row>
    <row r="14" spans="1:7" ht="24.95" customHeight="1" x14ac:dyDescent="0.2">
      <c r="A14" s="1561"/>
      <c r="B14" s="1563"/>
      <c r="C14" s="152" t="s">
        <v>427</v>
      </c>
      <c r="D14" s="153" t="e">
        <f>AT27A_Req_FG_CA_UPry!#REF!</f>
        <v>#REF!</v>
      </c>
      <c r="E14" s="154">
        <v>0</v>
      </c>
      <c r="F14" s="153" t="e">
        <f t="shared" si="0"/>
        <v>#REF!</v>
      </c>
      <c r="G14" s="1560"/>
    </row>
    <row r="15" spans="1:7" ht="24.95" customHeight="1" x14ac:dyDescent="0.2">
      <c r="A15" s="1551">
        <v>6</v>
      </c>
      <c r="B15" s="1553" t="s">
        <v>138</v>
      </c>
      <c r="C15" s="155" t="s">
        <v>416</v>
      </c>
      <c r="D15" s="153" t="e">
        <f>1.8/100*(D4+D13+D17+D19)</f>
        <v>#REF!</v>
      </c>
      <c r="E15" s="154">
        <v>0</v>
      </c>
      <c r="F15" s="153" t="e">
        <f t="shared" si="0"/>
        <v>#REF!</v>
      </c>
      <c r="G15" s="1555" t="s">
        <v>417</v>
      </c>
    </row>
    <row r="16" spans="1:7" ht="32.25" customHeight="1" x14ac:dyDescent="0.2">
      <c r="A16" s="1552"/>
      <c r="B16" s="1554"/>
      <c r="C16" s="155" t="s">
        <v>418</v>
      </c>
      <c r="D16" s="153" t="e">
        <f>1.8/100*(D6+D14+D18+D20)</f>
        <v>#REF!</v>
      </c>
      <c r="E16" s="154">
        <v>0</v>
      </c>
      <c r="F16" s="153" t="e">
        <f t="shared" si="0"/>
        <v>#REF!</v>
      </c>
      <c r="G16" s="1556"/>
    </row>
    <row r="17" spans="1:7" ht="24.95" customHeight="1" x14ac:dyDescent="0.2">
      <c r="A17" s="1551">
        <v>7</v>
      </c>
      <c r="B17" s="1553" t="s">
        <v>457</v>
      </c>
      <c r="C17" s="155" t="s">
        <v>423</v>
      </c>
      <c r="D17" s="153">
        <f>20218*10*750/100000</f>
        <v>1516.35</v>
      </c>
      <c r="E17" s="154">
        <v>1516.35</v>
      </c>
      <c r="F17" s="153">
        <f t="shared" si="0"/>
        <v>3032.7</v>
      </c>
      <c r="G17" s="1555" t="s">
        <v>419</v>
      </c>
    </row>
    <row r="18" spans="1:7" ht="24.95" customHeight="1" x14ac:dyDescent="0.2">
      <c r="A18" s="1552"/>
      <c r="B18" s="1554"/>
      <c r="C18" s="155" t="s">
        <v>424</v>
      </c>
      <c r="D18" s="153">
        <f>10237*10*750/100000</f>
        <v>767.77499999999998</v>
      </c>
      <c r="E18" s="154">
        <v>767.78</v>
      </c>
      <c r="F18" s="153">
        <f>SUM(D18:E18)</f>
        <v>1535.5549999999998</v>
      </c>
      <c r="G18" s="1556"/>
    </row>
    <row r="19" spans="1:7" ht="24.95" customHeight="1" x14ac:dyDescent="0.2">
      <c r="A19" s="1551">
        <v>8</v>
      </c>
      <c r="B19" s="1553" t="s">
        <v>420</v>
      </c>
      <c r="C19" s="152" t="s">
        <v>416</v>
      </c>
      <c r="D19" s="156">
        <f>AT27_Req_FG_CA_Pry!M23</f>
        <v>1673.7450000000001</v>
      </c>
      <c r="E19" s="157">
        <v>0</v>
      </c>
      <c r="F19" s="156">
        <f>SUM(D19:E19)</f>
        <v>1673.7450000000001</v>
      </c>
      <c r="G19" s="158" t="s">
        <v>428</v>
      </c>
    </row>
    <row r="20" spans="1:7" ht="24.95" customHeight="1" x14ac:dyDescent="0.2">
      <c r="A20" s="1552"/>
      <c r="B20" s="1554"/>
      <c r="C20" s="152" t="s">
        <v>418</v>
      </c>
      <c r="D20" s="156">
        <f>AT27A_Req_FG_CA_UPry!M23</f>
        <v>1792.90986</v>
      </c>
      <c r="E20" s="157">
        <v>0</v>
      </c>
      <c r="F20" s="156">
        <f>SUM(D20:E20)</f>
        <v>1792.90986</v>
      </c>
      <c r="G20" s="158" t="s">
        <v>428</v>
      </c>
    </row>
    <row r="21" spans="1:7" ht="24.95" customHeight="1" thickBot="1" x14ac:dyDescent="0.25">
      <c r="A21" s="159">
        <v>9</v>
      </c>
      <c r="B21" s="160" t="s">
        <v>421</v>
      </c>
      <c r="C21" s="158"/>
      <c r="D21" s="156">
        <v>0</v>
      </c>
      <c r="E21" s="157">
        <v>40</v>
      </c>
      <c r="F21" s="156">
        <f>SUM(D21:E21)</f>
        <v>40</v>
      </c>
      <c r="G21" s="158" t="s">
        <v>429</v>
      </c>
    </row>
    <row r="22" spans="1:7" ht="24.95" customHeight="1" thickBot="1" x14ac:dyDescent="0.25">
      <c r="A22" s="161"/>
      <c r="B22" s="162" t="s">
        <v>18</v>
      </c>
      <c r="C22" s="163"/>
      <c r="D22" s="164" t="e">
        <f>SUM(D4:D21)</f>
        <v>#REF!</v>
      </c>
      <c r="E22" s="165">
        <f>SUM(E4:E21)</f>
        <v>2616.96</v>
      </c>
      <c r="F22" s="164" t="e">
        <f>SUM(F4:F21)</f>
        <v>#REF!</v>
      </c>
      <c r="G22" s="166"/>
    </row>
    <row r="23" spans="1:7" x14ac:dyDescent="0.2">
      <c r="A23" s="64" t="s">
        <v>464</v>
      </c>
    </row>
  </sheetData>
  <mergeCells count="25">
    <mergeCell ref="A1:G1"/>
    <mergeCell ref="A4:A6"/>
    <mergeCell ref="B4:B6"/>
    <mergeCell ref="A9:A10"/>
    <mergeCell ref="B9:B10"/>
    <mergeCell ref="C9:C10"/>
    <mergeCell ref="G9:G10"/>
    <mergeCell ref="A7:A8"/>
    <mergeCell ref="B7:B8"/>
    <mergeCell ref="G7:G8"/>
    <mergeCell ref="G15:G16"/>
    <mergeCell ref="B17:B18"/>
    <mergeCell ref="G17:G18"/>
    <mergeCell ref="A11:A12"/>
    <mergeCell ref="B11:B12"/>
    <mergeCell ref="C11:C12"/>
    <mergeCell ref="G11:G12"/>
    <mergeCell ref="A13:A14"/>
    <mergeCell ref="B13:B14"/>
    <mergeCell ref="G13:G14"/>
    <mergeCell ref="A19:A20"/>
    <mergeCell ref="B19:B20"/>
    <mergeCell ref="A17:A18"/>
    <mergeCell ref="A15:A16"/>
    <mergeCell ref="B15:B16"/>
  </mergeCells>
  <pageMargins left="0.70866141732283472" right="0.33" top="0.4" bottom="0.39" header="0.21" footer="0.19"/>
  <pageSetup paperSize="9"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5" tint="0.39997558519241921"/>
    <pageSetUpPr fitToPage="1"/>
  </sheetPr>
  <dimension ref="A1:P38"/>
  <sheetViews>
    <sheetView topLeftCell="A4" zoomScaleSheetLayoutView="78" workbookViewId="0">
      <selection activeCell="N10" sqref="N10"/>
    </sheetView>
  </sheetViews>
  <sheetFormatPr defaultColWidth="9.140625" defaultRowHeight="12.75" x14ac:dyDescent="0.2"/>
  <cols>
    <col min="1" max="1" width="7.42578125" style="96" customWidth="1"/>
    <col min="2" max="2" width="20.5703125" style="96" customWidth="1"/>
    <col min="3" max="3" width="12.7109375" style="96" customWidth="1"/>
    <col min="4" max="4" width="14.7109375" style="96" customWidth="1"/>
    <col min="5" max="5" width="12.28515625" style="96" customWidth="1"/>
    <col min="6" max="6" width="13.85546875" style="96" customWidth="1"/>
    <col min="7" max="7" width="14.42578125" style="96" customWidth="1"/>
    <col min="8" max="8" width="16.42578125" style="96" customWidth="1"/>
    <col min="9" max="9" width="14.7109375" style="96" customWidth="1"/>
    <col min="10" max="10" width="15.140625" style="96" customWidth="1"/>
    <col min="11" max="11" width="12.28515625" style="96" customWidth="1"/>
    <col min="12" max="12" width="13.28515625" style="96" customWidth="1"/>
    <col min="13" max="16384" width="9.140625" style="96"/>
  </cols>
  <sheetData>
    <row r="1" spans="1:16" s="55" customFormat="1" x14ac:dyDescent="0.2">
      <c r="E1" s="1572"/>
      <c r="F1" s="1572"/>
      <c r="G1" s="1572"/>
      <c r="H1" s="1572"/>
      <c r="I1" s="1572"/>
      <c r="K1" s="698" t="s">
        <v>768</v>
      </c>
    </row>
    <row r="2" spans="1:16" s="55" customFormat="1" ht="15" x14ac:dyDescent="0.2">
      <c r="A2" s="1573" t="s">
        <v>0</v>
      </c>
      <c r="B2" s="1573"/>
      <c r="C2" s="1573"/>
      <c r="D2" s="1573"/>
      <c r="E2" s="1573"/>
      <c r="F2" s="1573"/>
      <c r="G2" s="1573"/>
      <c r="H2" s="1573"/>
      <c r="I2" s="1573"/>
      <c r="J2" s="1573"/>
      <c r="K2" s="1573"/>
      <c r="L2" s="1573"/>
    </row>
    <row r="3" spans="1:16" s="55" customFormat="1" ht="20.25" x14ac:dyDescent="0.3">
      <c r="A3" s="1574" t="s">
        <v>788</v>
      </c>
      <c r="B3" s="1574"/>
      <c r="C3" s="1574"/>
      <c r="D3" s="1574"/>
      <c r="E3" s="1574"/>
      <c r="F3" s="1574"/>
      <c r="G3" s="1574"/>
      <c r="H3" s="1574"/>
      <c r="I3" s="1574"/>
      <c r="J3" s="1574"/>
      <c r="K3" s="1574"/>
      <c r="L3" s="1574"/>
    </row>
    <row r="4" spans="1:16" s="55" customFormat="1" ht="14.25" customHeight="1" x14ac:dyDescent="0.2"/>
    <row r="5" spans="1:16" ht="16.5" customHeight="1" x14ac:dyDescent="0.25">
      <c r="A5" s="1575" t="s">
        <v>832</v>
      </c>
      <c r="B5" s="1575"/>
      <c r="C5" s="1575"/>
      <c r="D5" s="1575"/>
      <c r="E5" s="1575"/>
      <c r="F5" s="1575"/>
      <c r="G5" s="1575"/>
      <c r="H5" s="1575"/>
      <c r="I5" s="1575"/>
      <c r="J5" s="1575"/>
      <c r="K5" s="1575"/>
      <c r="L5" s="1575"/>
    </row>
    <row r="6" spans="1:16" ht="13.5" customHeight="1" x14ac:dyDescent="0.2">
      <c r="A6" s="56"/>
      <c r="B6" s="56"/>
      <c r="C6" s="56"/>
      <c r="D6" s="56"/>
      <c r="E6" s="56"/>
      <c r="F6" s="56"/>
      <c r="G6" s="56"/>
      <c r="H6" s="56"/>
      <c r="I6" s="56"/>
      <c r="J6" s="56"/>
    </row>
    <row r="7" spans="1:16" ht="0.75" customHeight="1" x14ac:dyDescent="0.2"/>
    <row r="8" spans="1:16" x14ac:dyDescent="0.2">
      <c r="A8" s="1576" t="s">
        <v>759</v>
      </c>
      <c r="B8" s="1576"/>
      <c r="C8" s="697"/>
      <c r="J8" s="704" t="s">
        <v>795</v>
      </c>
      <c r="K8" s="704"/>
      <c r="L8" s="704"/>
    </row>
    <row r="9" spans="1:16" s="702" customFormat="1" ht="30.75" customHeight="1" x14ac:dyDescent="0.2">
      <c r="A9" s="1391" t="s">
        <v>2</v>
      </c>
      <c r="B9" s="1391" t="s">
        <v>37</v>
      </c>
      <c r="C9" s="1578" t="s">
        <v>760</v>
      </c>
      <c r="D9" s="1578"/>
      <c r="E9" s="1578" t="s">
        <v>136</v>
      </c>
      <c r="F9" s="1578"/>
      <c r="G9" s="1578" t="s">
        <v>761</v>
      </c>
      <c r="H9" s="1578"/>
      <c r="I9" s="1578" t="s">
        <v>137</v>
      </c>
      <c r="J9" s="1578"/>
      <c r="K9" s="1578" t="s">
        <v>138</v>
      </c>
      <c r="L9" s="1578"/>
      <c r="O9" s="96"/>
      <c r="P9" s="703"/>
    </row>
    <row r="10" spans="1:16" s="702" customFormat="1" ht="53.25" customHeight="1" x14ac:dyDescent="0.2">
      <c r="A10" s="1391"/>
      <c r="B10" s="1391"/>
      <c r="C10" s="696" t="s">
        <v>762</v>
      </c>
      <c r="D10" s="696" t="s">
        <v>763</v>
      </c>
      <c r="E10" s="696" t="s">
        <v>764</v>
      </c>
      <c r="F10" s="696" t="s">
        <v>765</v>
      </c>
      <c r="G10" s="696" t="s">
        <v>764</v>
      </c>
      <c r="H10" s="696" t="s">
        <v>765</v>
      </c>
      <c r="I10" s="696" t="s">
        <v>762</v>
      </c>
      <c r="J10" s="696" t="s">
        <v>763</v>
      </c>
      <c r="K10" s="696" t="s">
        <v>762</v>
      </c>
      <c r="L10" s="696" t="s">
        <v>763</v>
      </c>
      <c r="O10" s="96"/>
    </row>
    <row r="11" spans="1:16" x14ac:dyDescent="0.2">
      <c r="A11" s="293">
        <v>1</v>
      </c>
      <c r="B11" s="293">
        <v>2</v>
      </c>
      <c r="C11" s="293">
        <v>3</v>
      </c>
      <c r="D11" s="293">
        <v>4</v>
      </c>
      <c r="E11" s="293">
        <v>5</v>
      </c>
      <c r="F11" s="293">
        <v>6</v>
      </c>
      <c r="G11" s="293">
        <v>7</v>
      </c>
      <c r="H11" s="293">
        <v>8</v>
      </c>
      <c r="I11" s="293">
        <v>9</v>
      </c>
      <c r="J11" s="293">
        <v>10</v>
      </c>
      <c r="K11" s="293">
        <v>11</v>
      </c>
      <c r="L11" s="293">
        <v>12</v>
      </c>
    </row>
    <row r="12" spans="1:16" ht="24.75" customHeight="1" x14ac:dyDescent="0.2">
      <c r="A12" s="694">
        <v>1</v>
      </c>
      <c r="B12" s="219" t="s">
        <v>386</v>
      </c>
      <c r="C12" s="1409" t="s">
        <v>400</v>
      </c>
      <c r="D12" s="1410"/>
      <c r="E12" s="1410"/>
      <c r="F12" s="1410"/>
      <c r="G12" s="1410"/>
      <c r="H12" s="1410"/>
      <c r="I12" s="1410"/>
      <c r="J12" s="1410"/>
      <c r="K12" s="1410"/>
      <c r="L12" s="1411"/>
    </row>
    <row r="13" spans="1:16" ht="24.75" customHeight="1" x14ac:dyDescent="0.2">
      <c r="A13" s="694">
        <v>2</v>
      </c>
      <c r="B13" s="219" t="s">
        <v>387</v>
      </c>
      <c r="C13" s="1412"/>
      <c r="D13" s="1413"/>
      <c r="E13" s="1413"/>
      <c r="F13" s="1413"/>
      <c r="G13" s="1413"/>
      <c r="H13" s="1413"/>
      <c r="I13" s="1413"/>
      <c r="J13" s="1413"/>
      <c r="K13" s="1413"/>
      <c r="L13" s="1414"/>
    </row>
    <row r="14" spans="1:16" ht="24.75" customHeight="1" x14ac:dyDescent="0.2">
      <c r="A14" s="694">
        <v>3</v>
      </c>
      <c r="B14" s="219" t="s">
        <v>388</v>
      </c>
      <c r="C14" s="1412"/>
      <c r="D14" s="1413"/>
      <c r="E14" s="1413"/>
      <c r="F14" s="1413"/>
      <c r="G14" s="1413"/>
      <c r="H14" s="1413"/>
      <c r="I14" s="1413"/>
      <c r="J14" s="1413"/>
      <c r="K14" s="1413"/>
      <c r="L14" s="1414"/>
    </row>
    <row r="15" spans="1:16" ht="24.75" customHeight="1" x14ac:dyDescent="0.2">
      <c r="A15" s="694">
        <v>4</v>
      </c>
      <c r="B15" s="219" t="s">
        <v>389</v>
      </c>
      <c r="C15" s="1412"/>
      <c r="D15" s="1413"/>
      <c r="E15" s="1413"/>
      <c r="F15" s="1413"/>
      <c r="G15" s="1413"/>
      <c r="H15" s="1413"/>
      <c r="I15" s="1413"/>
      <c r="J15" s="1413"/>
      <c r="K15" s="1413"/>
      <c r="L15" s="1414"/>
    </row>
    <row r="16" spans="1:16" ht="24.75" customHeight="1" x14ac:dyDescent="0.2">
      <c r="A16" s="694">
        <v>5</v>
      </c>
      <c r="B16" s="221" t="s">
        <v>390</v>
      </c>
      <c r="C16" s="1412"/>
      <c r="D16" s="1413"/>
      <c r="E16" s="1413"/>
      <c r="F16" s="1413"/>
      <c r="G16" s="1413"/>
      <c r="H16" s="1413"/>
      <c r="I16" s="1413"/>
      <c r="J16" s="1413"/>
      <c r="K16" s="1413"/>
      <c r="L16" s="1414"/>
    </row>
    <row r="17" spans="1:12" ht="24.75" customHeight="1" x14ac:dyDescent="0.2">
      <c r="A17" s="694">
        <v>6</v>
      </c>
      <c r="B17" s="219" t="s">
        <v>391</v>
      </c>
      <c r="C17" s="1412"/>
      <c r="D17" s="1413"/>
      <c r="E17" s="1413"/>
      <c r="F17" s="1413"/>
      <c r="G17" s="1413"/>
      <c r="H17" s="1413"/>
      <c r="I17" s="1413"/>
      <c r="J17" s="1413"/>
      <c r="K17" s="1413"/>
      <c r="L17" s="1414"/>
    </row>
    <row r="18" spans="1:12" ht="24.75" customHeight="1" x14ac:dyDescent="0.2">
      <c r="A18" s="694">
        <v>7</v>
      </c>
      <c r="B18" s="221" t="s">
        <v>392</v>
      </c>
      <c r="C18" s="1412"/>
      <c r="D18" s="1413"/>
      <c r="E18" s="1413"/>
      <c r="F18" s="1413"/>
      <c r="G18" s="1413"/>
      <c r="H18" s="1413"/>
      <c r="I18" s="1413"/>
      <c r="J18" s="1413"/>
      <c r="K18" s="1413"/>
      <c r="L18" s="1414"/>
    </row>
    <row r="19" spans="1:12" ht="24.75" customHeight="1" x14ac:dyDescent="0.2">
      <c r="A19" s="694">
        <v>8</v>
      </c>
      <c r="B19" s="219" t="s">
        <v>393</v>
      </c>
      <c r="C19" s="1412"/>
      <c r="D19" s="1413"/>
      <c r="E19" s="1413"/>
      <c r="F19" s="1413"/>
      <c r="G19" s="1413"/>
      <c r="H19" s="1413"/>
      <c r="I19" s="1413"/>
      <c r="J19" s="1413"/>
      <c r="K19" s="1413"/>
      <c r="L19" s="1414"/>
    </row>
    <row r="20" spans="1:12" ht="24.75" customHeight="1" x14ac:dyDescent="0.2">
      <c r="A20" s="694">
        <v>9</v>
      </c>
      <c r="B20" s="219" t="s">
        <v>394</v>
      </c>
      <c r="C20" s="1412"/>
      <c r="D20" s="1413"/>
      <c r="E20" s="1413"/>
      <c r="F20" s="1413"/>
      <c r="G20" s="1413"/>
      <c r="H20" s="1413"/>
      <c r="I20" s="1413"/>
      <c r="J20" s="1413"/>
      <c r="K20" s="1413"/>
      <c r="L20" s="1414"/>
    </row>
    <row r="21" spans="1:12" ht="24.75" customHeight="1" x14ac:dyDescent="0.2">
      <c r="A21" s="694">
        <v>10</v>
      </c>
      <c r="B21" s="219" t="s">
        <v>395</v>
      </c>
      <c r="C21" s="1412"/>
      <c r="D21" s="1413"/>
      <c r="E21" s="1413"/>
      <c r="F21" s="1413"/>
      <c r="G21" s="1413"/>
      <c r="H21" s="1413"/>
      <c r="I21" s="1413"/>
      <c r="J21" s="1413"/>
      <c r="K21" s="1413"/>
      <c r="L21" s="1414"/>
    </row>
    <row r="22" spans="1:12" ht="24.75" customHeight="1" x14ac:dyDescent="0.2">
      <c r="A22" s="694">
        <v>11</v>
      </c>
      <c r="B22" s="219" t="s">
        <v>396</v>
      </c>
      <c r="C22" s="1412"/>
      <c r="D22" s="1413"/>
      <c r="E22" s="1413"/>
      <c r="F22" s="1413"/>
      <c r="G22" s="1413"/>
      <c r="H22" s="1413"/>
      <c r="I22" s="1413"/>
      <c r="J22" s="1413"/>
      <c r="K22" s="1413"/>
      <c r="L22" s="1414"/>
    </row>
    <row r="23" spans="1:12" ht="24.75" customHeight="1" x14ac:dyDescent="0.2">
      <c r="A23" s="694">
        <v>12</v>
      </c>
      <c r="B23" s="219" t="s">
        <v>397</v>
      </c>
      <c r="C23" s="1412"/>
      <c r="D23" s="1413"/>
      <c r="E23" s="1413"/>
      <c r="F23" s="1413"/>
      <c r="G23" s="1413"/>
      <c r="H23" s="1413"/>
      <c r="I23" s="1413"/>
      <c r="J23" s="1413"/>
      <c r="K23" s="1413"/>
      <c r="L23" s="1414"/>
    </row>
    <row r="24" spans="1:12" ht="24.75" customHeight="1" x14ac:dyDescent="0.2">
      <c r="A24" s="694">
        <v>13</v>
      </c>
      <c r="B24" s="219" t="s">
        <v>398</v>
      </c>
      <c r="C24" s="1415"/>
      <c r="D24" s="1416"/>
      <c r="E24" s="1416"/>
      <c r="F24" s="1416"/>
      <c r="G24" s="1416"/>
      <c r="H24" s="1416"/>
      <c r="I24" s="1416"/>
      <c r="J24" s="1416"/>
      <c r="K24" s="1416"/>
      <c r="L24" s="1417"/>
    </row>
    <row r="25" spans="1:12" ht="24.75" customHeight="1" x14ac:dyDescent="0.2">
      <c r="A25" s="1168" t="s">
        <v>18</v>
      </c>
      <c r="B25" s="1159"/>
      <c r="C25" s="699"/>
      <c r="D25" s="699"/>
      <c r="E25" s="699"/>
      <c r="F25" s="699"/>
      <c r="G25" s="699"/>
      <c r="H25" s="699"/>
      <c r="I25" s="699"/>
      <c r="J25" s="699"/>
      <c r="K25" s="699"/>
      <c r="L25" s="699"/>
    </row>
    <row r="26" spans="1:12" x14ac:dyDescent="0.2">
      <c r="A26" s="61"/>
      <c r="B26" s="76"/>
      <c r="C26" s="76"/>
      <c r="D26" s="700"/>
      <c r="E26" s="700"/>
      <c r="F26" s="700"/>
      <c r="G26" s="700"/>
      <c r="H26" s="700"/>
      <c r="I26" s="700"/>
      <c r="J26" s="700"/>
    </row>
    <row r="27" spans="1:12" x14ac:dyDescent="0.2">
      <c r="A27" s="61"/>
      <c r="B27" s="76"/>
      <c r="C27" s="76"/>
      <c r="D27" s="700"/>
      <c r="E27" s="700"/>
      <c r="F27" s="700"/>
      <c r="G27" s="700"/>
      <c r="H27" s="700"/>
      <c r="I27" s="700"/>
      <c r="J27" s="700"/>
    </row>
    <row r="28" spans="1:12" x14ac:dyDescent="0.2">
      <c r="A28" s="61"/>
      <c r="B28" s="76"/>
      <c r="C28" s="76"/>
      <c r="D28" s="700"/>
      <c r="E28" s="700"/>
      <c r="F28" s="700"/>
      <c r="G28" s="700"/>
      <c r="H28" s="700"/>
      <c r="I28" s="700"/>
      <c r="J28" s="700"/>
    </row>
    <row r="29" spans="1:12" ht="15.75" customHeight="1" x14ac:dyDescent="0.2">
      <c r="A29" s="64" t="s">
        <v>11</v>
      </c>
      <c r="B29" s="64"/>
      <c r="C29" s="64"/>
      <c r="D29" s="64"/>
      <c r="E29" s="64"/>
      <c r="F29" s="64"/>
      <c r="G29" s="64"/>
      <c r="I29" s="1407" t="s">
        <v>12</v>
      </c>
      <c r="J29" s="1407"/>
    </row>
    <row r="30" spans="1:12" ht="12.75" customHeight="1" x14ac:dyDescent="0.2">
      <c r="A30" s="1579" t="s">
        <v>766</v>
      </c>
      <c r="B30" s="1579"/>
      <c r="C30" s="1579"/>
      <c r="D30" s="1579"/>
      <c r="E30" s="1579"/>
      <c r="F30" s="1579"/>
      <c r="G30" s="1579"/>
      <c r="H30" s="1579"/>
      <c r="I30" s="1579"/>
      <c r="J30" s="1579"/>
    </row>
    <row r="31" spans="1:12" ht="12.75" customHeight="1" x14ac:dyDescent="0.2">
      <c r="A31" s="701"/>
      <c r="B31" s="701"/>
      <c r="C31" s="701"/>
      <c r="D31" s="701"/>
      <c r="E31" s="701"/>
      <c r="F31" s="701"/>
      <c r="G31" s="701"/>
      <c r="H31" s="1407" t="s">
        <v>87</v>
      </c>
      <c r="I31" s="1407"/>
      <c r="J31" s="1407"/>
      <c r="K31" s="1407"/>
    </row>
    <row r="32" spans="1:12" x14ac:dyDescent="0.2">
      <c r="A32" s="64"/>
      <c r="B32" s="64"/>
      <c r="C32" s="64"/>
      <c r="E32" s="64"/>
      <c r="H32" s="1576" t="s">
        <v>84</v>
      </c>
      <c r="I32" s="1576"/>
      <c r="J32" s="1576"/>
    </row>
    <row r="36" spans="1:10" x14ac:dyDescent="0.2">
      <c r="A36" s="1577"/>
      <c r="B36" s="1577"/>
      <c r="C36" s="1577"/>
      <c r="D36" s="1577"/>
      <c r="E36" s="1577"/>
      <c r="F36" s="1577"/>
      <c r="G36" s="1577"/>
      <c r="H36" s="1577"/>
      <c r="I36" s="1577"/>
      <c r="J36" s="1577"/>
    </row>
    <row r="38" spans="1:10" x14ac:dyDescent="0.2">
      <c r="A38" s="1577"/>
      <c r="B38" s="1577"/>
      <c r="C38" s="1577"/>
      <c r="D38" s="1577"/>
      <c r="E38" s="1577"/>
      <c r="F38" s="1577"/>
      <c r="G38" s="1577"/>
      <c r="H38" s="1577"/>
      <c r="I38" s="1577"/>
      <c r="J38" s="1577"/>
    </row>
  </sheetData>
  <mergeCells count="20">
    <mergeCell ref="A38:J38"/>
    <mergeCell ref="A25:B25"/>
    <mergeCell ref="C12:L24"/>
    <mergeCell ref="K9:L9"/>
    <mergeCell ref="I29:J29"/>
    <mergeCell ref="A30:J30"/>
    <mergeCell ref="H31:K31"/>
    <mergeCell ref="H32:J32"/>
    <mergeCell ref="A36:J36"/>
    <mergeCell ref="A9:A10"/>
    <mergeCell ref="B9:B10"/>
    <mergeCell ref="C9:D9"/>
    <mergeCell ref="E9:F9"/>
    <mergeCell ref="G9:H9"/>
    <mergeCell ref="I9:J9"/>
    <mergeCell ref="E1:I1"/>
    <mergeCell ref="A2:L2"/>
    <mergeCell ref="A3:L3"/>
    <mergeCell ref="A5:L5"/>
    <mergeCell ref="A8:B8"/>
  </mergeCells>
  <printOptions horizontalCentered="1"/>
  <pageMargins left="0.31" right="0.36" top="0.23622047244094491" bottom="0" header="0.31496062992125984" footer="0.31496062992125984"/>
  <pageSetup paperSize="9" scale="8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5" tint="0.39997558519241921"/>
    <pageSetUpPr fitToPage="1"/>
  </sheetPr>
  <dimension ref="A1:P38"/>
  <sheetViews>
    <sheetView view="pageBreakPreview" zoomScale="78" zoomScaleSheetLayoutView="78" workbookViewId="0">
      <selection activeCell="P15" sqref="P15"/>
    </sheetView>
  </sheetViews>
  <sheetFormatPr defaultColWidth="9.140625" defaultRowHeight="12.75" x14ac:dyDescent="0.2"/>
  <cols>
    <col min="1" max="1" width="7.42578125" style="96" customWidth="1"/>
    <col min="2" max="2" width="20.5703125" style="96" customWidth="1"/>
    <col min="3" max="3" width="12.7109375" style="96" customWidth="1"/>
    <col min="4" max="4" width="14.7109375" style="96" customWidth="1"/>
    <col min="5" max="5" width="12.28515625" style="96" customWidth="1"/>
    <col min="6" max="6" width="13.85546875" style="96" customWidth="1"/>
    <col min="7" max="7" width="14.42578125" style="96" customWidth="1"/>
    <col min="8" max="8" width="16.42578125" style="96" customWidth="1"/>
    <col min="9" max="9" width="14.7109375" style="96" customWidth="1"/>
    <col min="10" max="10" width="15.140625" style="96" customWidth="1"/>
    <col min="11" max="11" width="12.28515625" style="96" customWidth="1"/>
    <col min="12" max="12" width="13.28515625" style="96" customWidth="1"/>
    <col min="13" max="16384" width="9.140625" style="96"/>
  </cols>
  <sheetData>
    <row r="1" spans="1:16" s="55" customFormat="1" x14ac:dyDescent="0.2">
      <c r="E1" s="1572"/>
      <c r="F1" s="1572"/>
      <c r="G1" s="1572"/>
      <c r="H1" s="1572"/>
      <c r="I1" s="1572"/>
      <c r="K1" s="698" t="s">
        <v>767</v>
      </c>
    </row>
    <row r="2" spans="1:16" s="55" customFormat="1" ht="15" x14ac:dyDescent="0.2">
      <c r="A2" s="1573" t="s">
        <v>0</v>
      </c>
      <c r="B2" s="1573"/>
      <c r="C2" s="1573"/>
      <c r="D2" s="1573"/>
      <c r="E2" s="1573"/>
      <c r="F2" s="1573"/>
      <c r="G2" s="1573"/>
      <c r="H2" s="1573"/>
      <c r="I2" s="1573"/>
      <c r="J2" s="1573"/>
      <c r="K2" s="1573"/>
      <c r="L2" s="1573"/>
    </row>
    <row r="3" spans="1:16" s="55" customFormat="1" ht="20.25" x14ac:dyDescent="0.3">
      <c r="A3" s="1574" t="s">
        <v>788</v>
      </c>
      <c r="B3" s="1574"/>
      <c r="C3" s="1574"/>
      <c r="D3" s="1574"/>
      <c r="E3" s="1574"/>
      <c r="F3" s="1574"/>
      <c r="G3" s="1574"/>
      <c r="H3" s="1574"/>
      <c r="I3" s="1574"/>
      <c r="J3" s="1574"/>
      <c r="K3" s="1574"/>
      <c r="L3" s="1574"/>
    </row>
    <row r="4" spans="1:16" s="55" customFormat="1" ht="14.25" customHeight="1" x14ac:dyDescent="0.2"/>
    <row r="5" spans="1:16" ht="16.5" customHeight="1" x14ac:dyDescent="0.25">
      <c r="A5" s="1575" t="s">
        <v>833</v>
      </c>
      <c r="B5" s="1575"/>
      <c r="C5" s="1575"/>
      <c r="D5" s="1575"/>
      <c r="E5" s="1575"/>
      <c r="F5" s="1575"/>
      <c r="G5" s="1575"/>
      <c r="H5" s="1575"/>
      <c r="I5" s="1575"/>
      <c r="J5" s="1575"/>
      <c r="K5" s="1575"/>
      <c r="L5" s="1575"/>
    </row>
    <row r="6" spans="1:16" ht="13.5" customHeight="1" x14ac:dyDescent="0.2">
      <c r="A6" s="56"/>
      <c r="B6" s="56"/>
      <c r="C6" s="56"/>
      <c r="D6" s="56"/>
      <c r="E6" s="56"/>
      <c r="F6" s="56"/>
      <c r="G6" s="56"/>
      <c r="H6" s="56"/>
      <c r="I6" s="56"/>
      <c r="J6" s="56"/>
    </row>
    <row r="7" spans="1:16" ht="0.75" customHeight="1" x14ac:dyDescent="0.2"/>
    <row r="8" spans="1:16" x14ac:dyDescent="0.2">
      <c r="A8" s="1576" t="s">
        <v>759</v>
      </c>
      <c r="B8" s="1576"/>
      <c r="C8" s="697"/>
      <c r="J8" s="1580" t="s">
        <v>795</v>
      </c>
      <c r="K8" s="1580"/>
      <c r="L8" s="1580"/>
    </row>
    <row r="9" spans="1:16" s="702" customFormat="1" ht="30.75" customHeight="1" x14ac:dyDescent="0.2">
      <c r="A9" s="1391" t="s">
        <v>2</v>
      </c>
      <c r="B9" s="1391" t="s">
        <v>37</v>
      </c>
      <c r="C9" s="1578" t="s">
        <v>760</v>
      </c>
      <c r="D9" s="1578"/>
      <c r="E9" s="1578" t="s">
        <v>136</v>
      </c>
      <c r="F9" s="1578"/>
      <c r="G9" s="1578" t="s">
        <v>761</v>
      </c>
      <c r="H9" s="1578"/>
      <c r="I9" s="1578" t="s">
        <v>137</v>
      </c>
      <c r="J9" s="1578"/>
      <c r="K9" s="1578" t="s">
        <v>138</v>
      </c>
      <c r="L9" s="1578"/>
      <c r="O9" s="96"/>
      <c r="P9" s="703"/>
    </row>
    <row r="10" spans="1:16" s="702" customFormat="1" ht="53.25" customHeight="1" x14ac:dyDescent="0.2">
      <c r="A10" s="1391"/>
      <c r="B10" s="1391"/>
      <c r="C10" s="696" t="s">
        <v>762</v>
      </c>
      <c r="D10" s="696" t="s">
        <v>763</v>
      </c>
      <c r="E10" s="696" t="s">
        <v>764</v>
      </c>
      <c r="F10" s="696" t="s">
        <v>765</v>
      </c>
      <c r="G10" s="696" t="s">
        <v>764</v>
      </c>
      <c r="H10" s="696" t="s">
        <v>765</v>
      </c>
      <c r="I10" s="696" t="s">
        <v>762</v>
      </c>
      <c r="J10" s="696" t="s">
        <v>763</v>
      </c>
      <c r="K10" s="696" t="s">
        <v>762</v>
      </c>
      <c r="L10" s="696" t="s">
        <v>763</v>
      </c>
      <c r="O10" s="96"/>
    </row>
    <row r="11" spans="1:16" x14ac:dyDescent="0.2">
      <c r="A11" s="293">
        <v>1</v>
      </c>
      <c r="B11" s="293">
        <v>2</v>
      </c>
      <c r="C11" s="293">
        <v>3</v>
      </c>
      <c r="D11" s="293">
        <v>4</v>
      </c>
      <c r="E11" s="293">
        <v>5</v>
      </c>
      <c r="F11" s="293">
        <v>6</v>
      </c>
      <c r="G11" s="293">
        <v>7</v>
      </c>
      <c r="H11" s="293">
        <v>8</v>
      </c>
      <c r="I11" s="293">
        <v>9</v>
      </c>
      <c r="J11" s="293">
        <v>10</v>
      </c>
      <c r="K11" s="293">
        <v>11</v>
      </c>
      <c r="L11" s="293">
        <v>12</v>
      </c>
    </row>
    <row r="12" spans="1:16" ht="24.75" customHeight="1" x14ac:dyDescent="0.2">
      <c r="A12" s="694">
        <v>1</v>
      </c>
      <c r="B12" s="219" t="s">
        <v>386</v>
      </c>
      <c r="C12" s="1409" t="s">
        <v>400</v>
      </c>
      <c r="D12" s="1410"/>
      <c r="E12" s="1410"/>
      <c r="F12" s="1410"/>
      <c r="G12" s="1410"/>
      <c r="H12" s="1410"/>
      <c r="I12" s="1410"/>
      <c r="J12" s="1410"/>
      <c r="K12" s="1410"/>
      <c r="L12" s="1411"/>
    </row>
    <row r="13" spans="1:16" ht="24.75" customHeight="1" x14ac:dyDescent="0.2">
      <c r="A13" s="694">
        <v>2</v>
      </c>
      <c r="B13" s="219" t="s">
        <v>387</v>
      </c>
      <c r="C13" s="1412"/>
      <c r="D13" s="1413"/>
      <c r="E13" s="1413"/>
      <c r="F13" s="1413"/>
      <c r="G13" s="1413"/>
      <c r="H13" s="1413"/>
      <c r="I13" s="1413"/>
      <c r="J13" s="1413"/>
      <c r="K13" s="1413"/>
      <c r="L13" s="1414"/>
    </row>
    <row r="14" spans="1:16" ht="24.75" customHeight="1" x14ac:dyDescent="0.2">
      <c r="A14" s="694">
        <v>3</v>
      </c>
      <c r="B14" s="219" t="s">
        <v>388</v>
      </c>
      <c r="C14" s="1412"/>
      <c r="D14" s="1413"/>
      <c r="E14" s="1413"/>
      <c r="F14" s="1413"/>
      <c r="G14" s="1413"/>
      <c r="H14" s="1413"/>
      <c r="I14" s="1413"/>
      <c r="J14" s="1413"/>
      <c r="K14" s="1413"/>
      <c r="L14" s="1414"/>
    </row>
    <row r="15" spans="1:16" ht="24.75" customHeight="1" x14ac:dyDescent="0.2">
      <c r="A15" s="694">
        <v>4</v>
      </c>
      <c r="B15" s="219" t="s">
        <v>389</v>
      </c>
      <c r="C15" s="1412"/>
      <c r="D15" s="1413"/>
      <c r="E15" s="1413"/>
      <c r="F15" s="1413"/>
      <c r="G15" s="1413"/>
      <c r="H15" s="1413"/>
      <c r="I15" s="1413"/>
      <c r="J15" s="1413"/>
      <c r="K15" s="1413"/>
      <c r="L15" s="1414"/>
    </row>
    <row r="16" spans="1:16" ht="24.75" customHeight="1" x14ac:dyDescent="0.2">
      <c r="A16" s="694">
        <v>5</v>
      </c>
      <c r="B16" s="221" t="s">
        <v>390</v>
      </c>
      <c r="C16" s="1412"/>
      <c r="D16" s="1413"/>
      <c r="E16" s="1413"/>
      <c r="F16" s="1413"/>
      <c r="G16" s="1413"/>
      <c r="H16" s="1413"/>
      <c r="I16" s="1413"/>
      <c r="J16" s="1413"/>
      <c r="K16" s="1413"/>
      <c r="L16" s="1414"/>
    </row>
    <row r="17" spans="1:12" ht="24.75" customHeight="1" x14ac:dyDescent="0.2">
      <c r="A17" s="694">
        <v>6</v>
      </c>
      <c r="B17" s="219" t="s">
        <v>391</v>
      </c>
      <c r="C17" s="1412"/>
      <c r="D17" s="1413"/>
      <c r="E17" s="1413"/>
      <c r="F17" s="1413"/>
      <c r="G17" s="1413"/>
      <c r="H17" s="1413"/>
      <c r="I17" s="1413"/>
      <c r="J17" s="1413"/>
      <c r="K17" s="1413"/>
      <c r="L17" s="1414"/>
    </row>
    <row r="18" spans="1:12" ht="24.75" customHeight="1" x14ac:dyDescent="0.2">
      <c r="A18" s="694">
        <v>7</v>
      </c>
      <c r="B18" s="221" t="s">
        <v>392</v>
      </c>
      <c r="C18" s="1412"/>
      <c r="D18" s="1413"/>
      <c r="E18" s="1413"/>
      <c r="F18" s="1413"/>
      <c r="G18" s="1413"/>
      <c r="H18" s="1413"/>
      <c r="I18" s="1413"/>
      <c r="J18" s="1413"/>
      <c r="K18" s="1413"/>
      <c r="L18" s="1414"/>
    </row>
    <row r="19" spans="1:12" ht="24.75" customHeight="1" x14ac:dyDescent="0.2">
      <c r="A19" s="694">
        <v>8</v>
      </c>
      <c r="B19" s="219" t="s">
        <v>393</v>
      </c>
      <c r="C19" s="1412"/>
      <c r="D19" s="1413"/>
      <c r="E19" s="1413"/>
      <c r="F19" s="1413"/>
      <c r="G19" s="1413"/>
      <c r="H19" s="1413"/>
      <c r="I19" s="1413"/>
      <c r="J19" s="1413"/>
      <c r="K19" s="1413"/>
      <c r="L19" s="1414"/>
    </row>
    <row r="20" spans="1:12" ht="24.75" customHeight="1" x14ac:dyDescent="0.2">
      <c r="A20" s="694">
        <v>9</v>
      </c>
      <c r="B20" s="219" t="s">
        <v>394</v>
      </c>
      <c r="C20" s="1412"/>
      <c r="D20" s="1413"/>
      <c r="E20" s="1413"/>
      <c r="F20" s="1413"/>
      <c r="G20" s="1413"/>
      <c r="H20" s="1413"/>
      <c r="I20" s="1413"/>
      <c r="J20" s="1413"/>
      <c r="K20" s="1413"/>
      <c r="L20" s="1414"/>
    </row>
    <row r="21" spans="1:12" ht="24.75" customHeight="1" x14ac:dyDescent="0.2">
      <c r="A21" s="694">
        <v>10</v>
      </c>
      <c r="B21" s="219" t="s">
        <v>395</v>
      </c>
      <c r="C21" s="1412"/>
      <c r="D21" s="1413"/>
      <c r="E21" s="1413"/>
      <c r="F21" s="1413"/>
      <c r="G21" s="1413"/>
      <c r="H21" s="1413"/>
      <c r="I21" s="1413"/>
      <c r="J21" s="1413"/>
      <c r="K21" s="1413"/>
      <c r="L21" s="1414"/>
    </row>
    <row r="22" spans="1:12" ht="24.75" customHeight="1" x14ac:dyDescent="0.2">
      <c r="A22" s="694">
        <v>11</v>
      </c>
      <c r="B22" s="219" t="s">
        <v>396</v>
      </c>
      <c r="C22" s="1412"/>
      <c r="D22" s="1413"/>
      <c r="E22" s="1413"/>
      <c r="F22" s="1413"/>
      <c r="G22" s="1413"/>
      <c r="H22" s="1413"/>
      <c r="I22" s="1413"/>
      <c r="J22" s="1413"/>
      <c r="K22" s="1413"/>
      <c r="L22" s="1414"/>
    </row>
    <row r="23" spans="1:12" ht="24.75" customHeight="1" x14ac:dyDescent="0.2">
      <c r="A23" s="694">
        <v>12</v>
      </c>
      <c r="B23" s="219" t="s">
        <v>397</v>
      </c>
      <c r="C23" s="1412"/>
      <c r="D23" s="1413"/>
      <c r="E23" s="1413"/>
      <c r="F23" s="1413"/>
      <c r="G23" s="1413"/>
      <c r="H23" s="1413"/>
      <c r="I23" s="1413"/>
      <c r="J23" s="1413"/>
      <c r="K23" s="1413"/>
      <c r="L23" s="1414"/>
    </row>
    <row r="24" spans="1:12" ht="24.75" customHeight="1" x14ac:dyDescent="0.2">
      <c r="A24" s="694">
        <v>13</v>
      </c>
      <c r="B24" s="219" t="s">
        <v>398</v>
      </c>
      <c r="C24" s="1415"/>
      <c r="D24" s="1416"/>
      <c r="E24" s="1416"/>
      <c r="F24" s="1416"/>
      <c r="G24" s="1416"/>
      <c r="H24" s="1416"/>
      <c r="I24" s="1416"/>
      <c r="J24" s="1416"/>
      <c r="K24" s="1416"/>
      <c r="L24" s="1417"/>
    </row>
    <row r="25" spans="1:12" ht="24.75" customHeight="1" x14ac:dyDescent="0.2">
      <c r="A25" s="1168" t="s">
        <v>18</v>
      </c>
      <c r="B25" s="1159"/>
      <c r="C25" s="699"/>
      <c r="D25" s="699"/>
      <c r="E25" s="699"/>
      <c r="F25" s="699"/>
      <c r="G25" s="699"/>
      <c r="H25" s="699"/>
      <c r="I25" s="699"/>
      <c r="J25" s="699"/>
      <c r="K25" s="699"/>
      <c r="L25" s="699"/>
    </row>
    <row r="26" spans="1:12" x14ac:dyDescent="0.2">
      <c r="A26" s="61"/>
      <c r="B26" s="76"/>
      <c r="C26" s="76"/>
      <c r="D26" s="700"/>
      <c r="E26" s="700"/>
      <c r="F26" s="700"/>
      <c r="G26" s="700"/>
      <c r="H26" s="700"/>
      <c r="I26" s="700"/>
      <c r="J26" s="700"/>
    </row>
    <row r="27" spans="1:12" x14ac:dyDescent="0.2">
      <c r="A27" s="61"/>
      <c r="B27" s="76"/>
      <c r="C27" s="76"/>
      <c r="D27" s="700"/>
      <c r="E27" s="700"/>
      <c r="F27" s="700"/>
      <c r="G27" s="700"/>
      <c r="H27" s="700"/>
      <c r="I27" s="700"/>
      <c r="J27" s="700"/>
    </row>
    <row r="28" spans="1:12" x14ac:dyDescent="0.2">
      <c r="A28" s="61"/>
      <c r="B28" s="76"/>
      <c r="C28" s="76"/>
      <c r="D28" s="700"/>
      <c r="E28" s="700"/>
      <c r="F28" s="700"/>
      <c r="G28" s="700"/>
      <c r="H28" s="700"/>
      <c r="I28" s="700"/>
      <c r="J28" s="700"/>
    </row>
    <row r="29" spans="1:12" ht="15.75" customHeight="1" x14ac:dyDescent="0.2">
      <c r="A29" s="64" t="s">
        <v>11</v>
      </c>
      <c r="B29" s="64"/>
      <c r="C29" s="64"/>
      <c r="D29" s="64"/>
      <c r="E29" s="64"/>
      <c r="F29" s="64"/>
      <c r="G29" s="64"/>
      <c r="I29" s="1407" t="s">
        <v>12</v>
      </c>
      <c r="J29" s="1407"/>
    </row>
    <row r="30" spans="1:12" ht="12.75" customHeight="1" x14ac:dyDescent="0.2">
      <c r="A30" s="1579" t="s">
        <v>766</v>
      </c>
      <c r="B30" s="1579"/>
      <c r="C30" s="1579"/>
      <c r="D30" s="1579"/>
      <c r="E30" s="1579"/>
      <c r="F30" s="1579"/>
      <c r="G30" s="1579"/>
      <c r="H30" s="1579"/>
      <c r="I30" s="1579"/>
      <c r="J30" s="1579"/>
    </row>
    <row r="31" spans="1:12" ht="12.75" customHeight="1" x14ac:dyDescent="0.2">
      <c r="A31" s="701"/>
      <c r="B31" s="701"/>
      <c r="C31" s="701"/>
      <c r="D31" s="701"/>
      <c r="E31" s="701"/>
      <c r="F31" s="701"/>
      <c r="G31" s="701"/>
      <c r="H31" s="1407" t="s">
        <v>87</v>
      </c>
      <c r="I31" s="1407"/>
      <c r="J31" s="1407"/>
      <c r="K31" s="1407"/>
    </row>
    <row r="32" spans="1:12" x14ac:dyDescent="0.2">
      <c r="A32" s="64"/>
      <c r="B32" s="64"/>
      <c r="C32" s="64"/>
      <c r="E32" s="64"/>
      <c r="H32" s="1576" t="s">
        <v>84</v>
      </c>
      <c r="I32" s="1576"/>
      <c r="J32" s="1576"/>
    </row>
    <row r="36" spans="1:10" x14ac:dyDescent="0.2">
      <c r="A36" s="1577"/>
      <c r="B36" s="1577"/>
      <c r="C36" s="1577"/>
      <c r="D36" s="1577"/>
      <c r="E36" s="1577"/>
      <c r="F36" s="1577"/>
      <c r="G36" s="1577"/>
      <c r="H36" s="1577"/>
      <c r="I36" s="1577"/>
      <c r="J36" s="1577"/>
    </row>
    <row r="38" spans="1:10" x14ac:dyDescent="0.2">
      <c r="A38" s="1577"/>
      <c r="B38" s="1577"/>
      <c r="C38" s="1577"/>
      <c r="D38" s="1577"/>
      <c r="E38" s="1577"/>
      <c r="F38" s="1577"/>
      <c r="G38" s="1577"/>
      <c r="H38" s="1577"/>
      <c r="I38" s="1577"/>
      <c r="J38" s="1577"/>
    </row>
  </sheetData>
  <mergeCells count="21">
    <mergeCell ref="A38:J38"/>
    <mergeCell ref="A3:L3"/>
    <mergeCell ref="A2:L2"/>
    <mergeCell ref="J8:L8"/>
    <mergeCell ref="C12:L24"/>
    <mergeCell ref="A25:B25"/>
    <mergeCell ref="K9:L9"/>
    <mergeCell ref="I29:J29"/>
    <mergeCell ref="A30:J30"/>
    <mergeCell ref="H31:K31"/>
    <mergeCell ref="H32:J32"/>
    <mergeCell ref="A36:J36"/>
    <mergeCell ref="A9:A10"/>
    <mergeCell ref="B9:B10"/>
    <mergeCell ref="C9:D9"/>
    <mergeCell ref="E9:F9"/>
    <mergeCell ref="G9:H9"/>
    <mergeCell ref="I9:J9"/>
    <mergeCell ref="E1:I1"/>
    <mergeCell ref="A5:L5"/>
    <mergeCell ref="A8:B8"/>
  </mergeCells>
  <printOptions horizontalCentered="1"/>
  <pageMargins left="0.31" right="0.36" top="0.23622047244094491" bottom="0" header="0.31496062992125984" footer="0.31496062992125984"/>
  <pageSetup paperSize="9" scale="8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B2:K25"/>
  <sheetViews>
    <sheetView view="pageBreakPreview" zoomScale="112" zoomScaleSheetLayoutView="112" workbookViewId="0">
      <selection activeCell="J31" sqref="J31"/>
    </sheetView>
  </sheetViews>
  <sheetFormatPr defaultRowHeight="12.75" x14ac:dyDescent="0.2"/>
  <sheetData>
    <row r="2" spans="2:11" x14ac:dyDescent="0.2">
      <c r="B2" s="11"/>
    </row>
    <row r="4" spans="2:11" ht="12.75" customHeight="1" x14ac:dyDescent="0.2"/>
    <row r="5" spans="2:11" ht="12.75" customHeight="1" x14ac:dyDescent="0.2"/>
    <row r="6" spans="2:11" ht="12.75" customHeight="1" x14ac:dyDescent="0.2"/>
    <row r="7" spans="2:11" ht="12.75" customHeight="1" x14ac:dyDescent="0.2"/>
    <row r="8" spans="2:11" ht="12.75" customHeight="1" x14ac:dyDescent="0.2"/>
    <row r="9" spans="2:11" ht="12.75" customHeight="1" x14ac:dyDescent="0.2"/>
    <row r="10" spans="2:11" ht="12.75" customHeight="1" x14ac:dyDescent="0.2"/>
    <row r="11" spans="2:11" ht="12.75" customHeight="1" x14ac:dyDescent="0.2"/>
    <row r="12" spans="2:11" ht="12.75" customHeight="1" x14ac:dyDescent="0.2"/>
    <row r="13" spans="2:11" ht="12.75" customHeight="1" x14ac:dyDescent="0.2"/>
    <row r="14" spans="2:11" ht="12.75" customHeight="1" x14ac:dyDescent="0.2">
      <c r="D14" s="1022" t="s">
        <v>1110</v>
      </c>
      <c r="E14" s="1022"/>
      <c r="F14" s="1022"/>
      <c r="G14" s="1022"/>
      <c r="H14" s="1022"/>
      <c r="I14" s="1022"/>
      <c r="J14" s="1022"/>
      <c r="K14" s="1022"/>
    </row>
    <row r="15" spans="2:11" ht="12.75" customHeight="1" x14ac:dyDescent="0.2">
      <c r="D15" s="1022"/>
      <c r="E15" s="1022"/>
      <c r="F15" s="1022"/>
      <c r="G15" s="1022"/>
      <c r="H15" s="1022"/>
      <c r="I15" s="1022"/>
      <c r="J15" s="1022"/>
      <c r="K15" s="1022"/>
    </row>
    <row r="16" spans="2:11" ht="12.75" customHeight="1" x14ac:dyDescent="0.2">
      <c r="D16" s="1022"/>
      <c r="E16" s="1022"/>
      <c r="F16" s="1022"/>
      <c r="G16" s="1022"/>
      <c r="H16" s="1022"/>
      <c r="I16" s="1022"/>
      <c r="J16" s="1022"/>
      <c r="K16" s="1022"/>
    </row>
    <row r="17" spans="4:11" ht="12.75" customHeight="1" x14ac:dyDescent="0.2">
      <c r="D17" s="1022"/>
      <c r="E17" s="1022"/>
      <c r="F17" s="1022"/>
      <c r="G17" s="1022"/>
      <c r="H17" s="1022"/>
      <c r="I17" s="1022"/>
      <c r="J17" s="1022"/>
      <c r="K17" s="1022"/>
    </row>
    <row r="18" spans="4:11" ht="12.75" customHeight="1" x14ac:dyDescent="0.2">
      <c r="D18" s="1022"/>
      <c r="E18" s="1022"/>
      <c r="F18" s="1022"/>
      <c r="G18" s="1022"/>
      <c r="H18" s="1022"/>
      <c r="I18" s="1022"/>
      <c r="J18" s="1022"/>
      <c r="K18" s="1022"/>
    </row>
    <row r="19" spans="4:11" ht="12.75" customHeight="1" x14ac:dyDescent="0.2">
      <c r="D19" s="1022"/>
      <c r="E19" s="1022"/>
      <c r="F19" s="1022"/>
      <c r="G19" s="1022"/>
      <c r="H19" s="1022"/>
      <c r="I19" s="1022"/>
      <c r="J19" s="1022"/>
      <c r="K19" s="1022"/>
    </row>
    <row r="20" spans="4:11" ht="12.75" customHeight="1" x14ac:dyDescent="0.2">
      <c r="D20" s="1022"/>
      <c r="E20" s="1022"/>
      <c r="F20" s="1022"/>
      <c r="G20" s="1022"/>
      <c r="H20" s="1022"/>
      <c r="I20" s="1022"/>
      <c r="J20" s="1022"/>
      <c r="K20" s="1022"/>
    </row>
    <row r="21" spans="4:11" ht="12.75" customHeight="1" x14ac:dyDescent="0.2">
      <c r="D21" s="1022"/>
      <c r="E21" s="1022"/>
      <c r="F21" s="1022"/>
      <c r="G21" s="1022"/>
      <c r="H21" s="1022"/>
      <c r="I21" s="1022"/>
      <c r="J21" s="1022"/>
      <c r="K21" s="1022"/>
    </row>
    <row r="22" spans="4:11" ht="12.75" customHeight="1" x14ac:dyDescent="0.2">
      <c r="D22" s="1022"/>
      <c r="E22" s="1022"/>
      <c r="F22" s="1022"/>
      <c r="G22" s="1022"/>
      <c r="H22" s="1022"/>
      <c r="I22" s="1022"/>
      <c r="J22" s="1022"/>
      <c r="K22" s="1022"/>
    </row>
    <row r="23" spans="4:11" ht="12.75" customHeight="1" x14ac:dyDescent="0.2">
      <c r="D23" s="1022"/>
      <c r="E23" s="1022"/>
      <c r="F23" s="1022"/>
      <c r="G23" s="1022"/>
      <c r="H23" s="1022"/>
      <c r="I23" s="1022"/>
      <c r="J23" s="1022"/>
      <c r="K23" s="1022"/>
    </row>
    <row r="24" spans="4:11" x14ac:dyDescent="0.2">
      <c r="D24" s="1022"/>
      <c r="E24" s="1022"/>
      <c r="F24" s="1022"/>
      <c r="G24" s="1022"/>
      <c r="H24" s="1022"/>
      <c r="I24" s="1022"/>
      <c r="J24" s="1022"/>
      <c r="K24" s="1022"/>
    </row>
    <row r="25" spans="4:11" x14ac:dyDescent="0.2">
      <c r="D25" s="1022"/>
      <c r="E25" s="1022"/>
      <c r="F25" s="1022"/>
      <c r="G25" s="1022"/>
      <c r="H25" s="1022"/>
      <c r="I25" s="1022"/>
      <c r="J25" s="1022"/>
      <c r="K25" s="1022"/>
    </row>
  </sheetData>
  <mergeCells count="1">
    <mergeCell ref="D14:K25"/>
  </mergeCells>
  <pageMargins left="0.70866141732283472" right="0.70866141732283472" top="0.74803149606299213" bottom="0.74803149606299213" header="0.31496062992125984" footer="0.31496062992125984"/>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theme="5" tint="0.39997558519241921"/>
  </sheetPr>
  <dimension ref="A1:K29"/>
  <sheetViews>
    <sheetView view="pageBreakPreview" topLeftCell="A4" zoomScaleNormal="80" zoomScaleSheetLayoutView="100" workbookViewId="0">
      <selection activeCell="G10" sqref="G10:G11"/>
    </sheetView>
  </sheetViews>
  <sheetFormatPr defaultRowHeight="12.75" x14ac:dyDescent="0.2"/>
  <cols>
    <col min="1" max="1" width="9.5703125" style="588" customWidth="1"/>
    <col min="2" max="2" width="30" style="588" customWidth="1"/>
    <col min="3" max="3" width="23.7109375" style="588" customWidth="1"/>
    <col min="4" max="4" width="16.42578125" style="588" customWidth="1"/>
    <col min="5" max="5" width="12" style="588" customWidth="1"/>
    <col min="6" max="6" width="16.42578125" style="588" customWidth="1"/>
    <col min="7" max="7" width="50.42578125" style="588" customWidth="1"/>
    <col min="8" max="10" width="9.140625" style="588"/>
    <col min="11" max="11" width="9.5703125" style="588" bestFit="1" customWidth="1"/>
    <col min="12" max="16384" width="9.140625" style="588"/>
  </cols>
  <sheetData>
    <row r="1" spans="1:11" ht="18" x14ac:dyDescent="0.25">
      <c r="A1" s="1596" t="s">
        <v>758</v>
      </c>
      <c r="B1" s="1596"/>
      <c r="C1" s="1596"/>
      <c r="D1" s="1596"/>
      <c r="E1" s="1596"/>
      <c r="F1" s="1596"/>
      <c r="G1" s="1596"/>
    </row>
    <row r="2" spans="1:11" ht="18" x14ac:dyDescent="0.25">
      <c r="A2" s="1596" t="s">
        <v>1126</v>
      </c>
      <c r="B2" s="1596"/>
      <c r="C2" s="1596"/>
      <c r="D2" s="1596"/>
      <c r="E2" s="1596"/>
      <c r="F2" s="1596"/>
      <c r="G2" s="1596"/>
    </row>
    <row r="3" spans="1:11" ht="15.75" thickBot="1" x14ac:dyDescent="0.3">
      <c r="A3" s="589" t="s">
        <v>404</v>
      </c>
      <c r="B3" s="590"/>
      <c r="C3" s="590"/>
      <c r="D3" s="590"/>
      <c r="E3" s="590"/>
      <c r="F3" s="590"/>
      <c r="G3" s="590" t="s">
        <v>405</v>
      </c>
    </row>
    <row r="4" spans="1:11" ht="26.25" thickBot="1" x14ac:dyDescent="0.25">
      <c r="A4" s="591" t="s">
        <v>406</v>
      </c>
      <c r="B4" s="592" t="s">
        <v>407</v>
      </c>
      <c r="C4" s="591" t="s">
        <v>408</v>
      </c>
      <c r="D4" s="593" t="s">
        <v>409</v>
      </c>
      <c r="E4" s="594" t="s">
        <v>410</v>
      </c>
      <c r="F4" s="592" t="s">
        <v>18</v>
      </c>
      <c r="G4" s="591" t="s">
        <v>411</v>
      </c>
      <c r="K4" s="595"/>
    </row>
    <row r="5" spans="1:11" ht="22.5" customHeight="1" x14ac:dyDescent="0.2">
      <c r="A5" s="1597">
        <v>1</v>
      </c>
      <c r="B5" s="1598" t="s">
        <v>412</v>
      </c>
      <c r="C5" s="957" t="s">
        <v>1127</v>
      </c>
      <c r="D5" s="730">
        <f>7357*241*3.91/100000</f>
        <v>69.325746699999996</v>
      </c>
      <c r="E5" s="912">
        <f>7357*241*0.44/100000</f>
        <v>7.8013628000000006</v>
      </c>
      <c r="F5" s="730">
        <f>D5+E5</f>
        <v>77.127109500000003</v>
      </c>
      <c r="G5" s="913" t="s">
        <v>903</v>
      </c>
      <c r="I5" s="588">
        <v>6682</v>
      </c>
      <c r="J5" s="588">
        <v>7357</v>
      </c>
      <c r="K5" s="596">
        <f>J5-I5</f>
        <v>675</v>
      </c>
    </row>
    <row r="6" spans="1:11" ht="22.5" customHeight="1" x14ac:dyDescent="0.2">
      <c r="A6" s="1595"/>
      <c r="B6" s="1599"/>
      <c r="C6" s="903" t="s">
        <v>1107</v>
      </c>
      <c r="D6" s="536">
        <f>1650*5.86*241/100000</f>
        <v>23.302289999999999</v>
      </c>
      <c r="E6" s="912">
        <f>1650*0.65*241/100000</f>
        <v>2.5847250000000002</v>
      </c>
      <c r="F6" s="905">
        <f>D6+E6</f>
        <v>25.887014999999998</v>
      </c>
      <c r="G6" s="914" t="s">
        <v>904</v>
      </c>
      <c r="I6" s="588">
        <f>7357*241*100*0.000001</f>
        <v>177.30369999999999</v>
      </c>
    </row>
    <row r="7" spans="1:11" ht="18" customHeight="1" x14ac:dyDescent="0.2">
      <c r="A7" s="1581">
        <v>2</v>
      </c>
      <c r="B7" s="1583" t="s">
        <v>413</v>
      </c>
      <c r="C7" s="1581" t="s">
        <v>638</v>
      </c>
      <c r="D7" s="1601">
        <f>(0*2.07)</f>
        <v>0</v>
      </c>
      <c r="E7" s="1603">
        <v>0</v>
      </c>
      <c r="F7" s="1605">
        <f t="shared" ref="F7:F14" si="0">SUM(D7:E7)</f>
        <v>0</v>
      </c>
      <c r="G7" s="1607" t="s">
        <v>1102</v>
      </c>
      <c r="I7" s="588">
        <f>1650*241*150*0.000001</f>
        <v>59.647499999999994</v>
      </c>
    </row>
    <row r="8" spans="1:11" ht="15" customHeight="1" x14ac:dyDescent="0.2">
      <c r="A8" s="1582"/>
      <c r="B8" s="1584"/>
      <c r="C8" s="1600"/>
      <c r="D8" s="1602"/>
      <c r="E8" s="1604"/>
      <c r="F8" s="1606"/>
      <c r="G8" s="1608"/>
    </row>
    <row r="9" spans="1:11" ht="63.75" x14ac:dyDescent="0.2">
      <c r="A9" s="599">
        <v>4</v>
      </c>
      <c r="B9" s="600" t="s">
        <v>578</v>
      </c>
      <c r="C9" s="601" t="s">
        <v>1128</v>
      </c>
      <c r="D9" s="536">
        <v>10.58</v>
      </c>
      <c r="E9" s="536">
        <v>1.18</v>
      </c>
      <c r="F9" s="603">
        <f>D9+E9</f>
        <v>11.76</v>
      </c>
      <c r="G9" s="902" t="s">
        <v>1070</v>
      </c>
    </row>
    <row r="10" spans="1:11" ht="19.5" customHeight="1" x14ac:dyDescent="0.2">
      <c r="A10" s="1595">
        <v>6</v>
      </c>
      <c r="B10" s="1609" t="s">
        <v>415</v>
      </c>
      <c r="C10" s="956" t="s">
        <v>1129</v>
      </c>
      <c r="D10" s="598">
        <f>177.3*10*251.65/100000</f>
        <v>4.4617545000000005</v>
      </c>
      <c r="E10" s="604">
        <v>0</v>
      </c>
      <c r="F10" s="605">
        <f t="shared" si="0"/>
        <v>4.4617545000000005</v>
      </c>
      <c r="G10" s="1570" t="s">
        <v>1134</v>
      </c>
      <c r="I10" s="588">
        <v>4919</v>
      </c>
      <c r="J10" s="588">
        <v>1330</v>
      </c>
    </row>
    <row r="11" spans="1:11" ht="22.5" customHeight="1" x14ac:dyDescent="0.2">
      <c r="A11" s="1595"/>
      <c r="B11" s="1610"/>
      <c r="C11" s="903" t="s">
        <v>1108</v>
      </c>
      <c r="D11" s="598">
        <f>59.65*251.65*10/100000</f>
        <v>1.5010922500000001</v>
      </c>
      <c r="E11" s="604">
        <v>0</v>
      </c>
      <c r="F11" s="605">
        <f t="shared" si="0"/>
        <v>1.5010922500000001</v>
      </c>
      <c r="G11" s="1571"/>
      <c r="I11" s="588">
        <v>1763</v>
      </c>
      <c r="J11" s="588">
        <v>320</v>
      </c>
    </row>
    <row r="12" spans="1:11" ht="22.5" customHeight="1" x14ac:dyDescent="0.2">
      <c r="A12" s="1581">
        <v>8</v>
      </c>
      <c r="B12" s="1583" t="s">
        <v>138</v>
      </c>
      <c r="C12" s="597" t="s">
        <v>416</v>
      </c>
      <c r="D12" s="598">
        <f>2.7/100*(D5+D10+D14+D24)</f>
        <v>2.5063958574000003</v>
      </c>
      <c r="E12" s="604">
        <v>0</v>
      </c>
      <c r="F12" s="605">
        <f t="shared" si="0"/>
        <v>2.5063958574000003</v>
      </c>
      <c r="G12" s="1593" t="s">
        <v>1074</v>
      </c>
    </row>
    <row r="13" spans="1:11" ht="22.5" customHeight="1" x14ac:dyDescent="0.2">
      <c r="A13" s="1582"/>
      <c r="B13" s="1584"/>
      <c r="C13" s="597" t="s">
        <v>418</v>
      </c>
      <c r="D13" s="598">
        <f>2.7/100*(D6+D11+D15+D25)</f>
        <v>0.80912573325000003</v>
      </c>
      <c r="E13" s="604">
        <v>0</v>
      </c>
      <c r="F13" s="605">
        <f t="shared" si="0"/>
        <v>0.80912573325000003</v>
      </c>
      <c r="G13" s="1594"/>
    </row>
    <row r="14" spans="1:11" ht="22.5" customHeight="1" x14ac:dyDescent="0.2">
      <c r="A14" s="1581">
        <v>9</v>
      </c>
      <c r="B14" s="1583" t="s">
        <v>457</v>
      </c>
      <c r="C14" s="956" t="s">
        <v>1130</v>
      </c>
      <c r="D14" s="598">
        <f>151*10*900/100000</f>
        <v>13.59</v>
      </c>
      <c r="E14" s="604">
        <f>151*10*1100/100000</f>
        <v>16.61</v>
      </c>
      <c r="F14" s="605">
        <f t="shared" si="0"/>
        <v>30.2</v>
      </c>
      <c r="G14" s="1593" t="s">
        <v>693</v>
      </c>
    </row>
    <row r="15" spans="1:11" ht="22.5" customHeight="1" x14ac:dyDescent="0.2">
      <c r="A15" s="1582"/>
      <c r="B15" s="1584"/>
      <c r="C15" s="903" t="s">
        <v>1109</v>
      </c>
      <c r="D15" s="598">
        <f>37*10*900/100000</f>
        <v>3.33</v>
      </c>
      <c r="E15" s="604">
        <f>37*10*1100/100000</f>
        <v>4.07</v>
      </c>
      <c r="F15" s="605">
        <f t="shared" ref="F15:F26" si="1">SUM(D15:E15)</f>
        <v>7.4</v>
      </c>
      <c r="G15" s="1594"/>
    </row>
    <row r="16" spans="1:11" ht="22.5" customHeight="1" x14ac:dyDescent="0.2">
      <c r="A16" s="1581">
        <v>10</v>
      </c>
      <c r="B16" s="1583" t="s">
        <v>631</v>
      </c>
      <c r="C16" s="956" t="s">
        <v>1130</v>
      </c>
      <c r="D16" s="606">
        <v>0</v>
      </c>
      <c r="E16" s="604">
        <f>151*1*2000/100000</f>
        <v>3.02</v>
      </c>
      <c r="F16" s="605">
        <f t="shared" si="1"/>
        <v>3.02</v>
      </c>
      <c r="G16" s="1585" t="s">
        <v>694</v>
      </c>
      <c r="H16" s="588">
        <v>97</v>
      </c>
      <c r="I16" s="588">
        <v>27</v>
      </c>
    </row>
    <row r="17" spans="1:9" ht="22.5" customHeight="1" x14ac:dyDescent="0.2">
      <c r="A17" s="1582"/>
      <c r="B17" s="1584"/>
      <c r="C17" s="956" t="s">
        <v>1109</v>
      </c>
      <c r="D17" s="606">
        <v>0</v>
      </c>
      <c r="E17" s="604">
        <f>37*1*2000/100000</f>
        <v>0.74</v>
      </c>
      <c r="F17" s="605">
        <f t="shared" si="1"/>
        <v>0.74</v>
      </c>
      <c r="G17" s="1585"/>
      <c r="H17" s="588">
        <v>1</v>
      </c>
    </row>
    <row r="18" spans="1:9" s="608" customFormat="1" ht="22.5" customHeight="1" x14ac:dyDescent="0.2">
      <c r="A18" s="1587">
        <v>11</v>
      </c>
      <c r="B18" s="1589" t="s">
        <v>633</v>
      </c>
      <c r="C18" s="956" t="s">
        <v>1130</v>
      </c>
      <c r="D18" s="607">
        <v>0</v>
      </c>
      <c r="E18" s="602">
        <f>151*1*1000/100000</f>
        <v>1.51</v>
      </c>
      <c r="F18" s="603">
        <f t="shared" si="1"/>
        <v>1.51</v>
      </c>
      <c r="G18" s="1585" t="s">
        <v>632</v>
      </c>
      <c r="H18" s="608">
        <v>45</v>
      </c>
      <c r="I18" s="608">
        <v>10</v>
      </c>
    </row>
    <row r="19" spans="1:9" s="608" customFormat="1" ht="22.5" customHeight="1" x14ac:dyDescent="0.2">
      <c r="A19" s="1588"/>
      <c r="B19" s="1590"/>
      <c r="C19" s="956" t="s">
        <v>1109</v>
      </c>
      <c r="D19" s="607">
        <v>0</v>
      </c>
      <c r="E19" s="602">
        <f>37*1*1000/100000</f>
        <v>0.37</v>
      </c>
      <c r="F19" s="603">
        <f t="shared" si="1"/>
        <v>0.37</v>
      </c>
      <c r="G19" s="1585"/>
    </row>
    <row r="20" spans="1:9" s="608" customFormat="1" ht="22.5" customHeight="1" x14ac:dyDescent="0.2">
      <c r="A20" s="1587">
        <v>12</v>
      </c>
      <c r="B20" s="1591" t="s">
        <v>702</v>
      </c>
      <c r="C20" s="956" t="s">
        <v>1130</v>
      </c>
      <c r="D20" s="607">
        <v>0</v>
      </c>
      <c r="E20" s="609">
        <f>151*1000*0.00001</f>
        <v>1.5100000000000002</v>
      </c>
      <c r="F20" s="610">
        <f t="shared" si="1"/>
        <v>1.5100000000000002</v>
      </c>
      <c r="G20" s="1585" t="s">
        <v>703</v>
      </c>
    </row>
    <row r="21" spans="1:9" s="608" customFormat="1" ht="22.5" customHeight="1" thickBot="1" x14ac:dyDescent="0.25">
      <c r="A21" s="1588"/>
      <c r="B21" s="1592"/>
      <c r="C21" s="956" t="s">
        <v>1109</v>
      </c>
      <c r="D21" s="607">
        <v>0</v>
      </c>
      <c r="E21" s="609">
        <f>37*1000*0.00001</f>
        <v>0.37000000000000005</v>
      </c>
      <c r="F21" s="610">
        <f t="shared" si="1"/>
        <v>0.37000000000000005</v>
      </c>
      <c r="G21" s="1585"/>
    </row>
    <row r="22" spans="1:9" s="608" customFormat="1" ht="22.5" customHeight="1" x14ac:dyDescent="0.2">
      <c r="A22" s="1587">
        <v>13</v>
      </c>
      <c r="B22" s="1589" t="s">
        <v>701</v>
      </c>
      <c r="C22" s="957" t="s">
        <v>1127</v>
      </c>
      <c r="D22" s="607">
        <v>0</v>
      </c>
      <c r="E22" s="609">
        <f>7357*40*5*0.00001</f>
        <v>14.714</v>
      </c>
      <c r="F22" s="610">
        <f t="shared" si="1"/>
        <v>14.714</v>
      </c>
      <c r="G22" s="1585" t="s">
        <v>704</v>
      </c>
    </row>
    <row r="23" spans="1:9" s="608" customFormat="1" ht="22.5" customHeight="1" x14ac:dyDescent="0.2">
      <c r="A23" s="1588"/>
      <c r="B23" s="1590"/>
      <c r="C23" s="956" t="s">
        <v>1107</v>
      </c>
      <c r="D23" s="607">
        <v>0</v>
      </c>
      <c r="E23" s="609">
        <f>1650*40*5*0.00001</f>
        <v>3.3000000000000003</v>
      </c>
      <c r="F23" s="610">
        <f t="shared" si="1"/>
        <v>3.3000000000000003</v>
      </c>
      <c r="G23" s="1585"/>
    </row>
    <row r="24" spans="1:9" ht="22.5" customHeight="1" x14ac:dyDescent="0.2">
      <c r="A24" s="1581">
        <v>14</v>
      </c>
      <c r="B24" s="1583" t="s">
        <v>420</v>
      </c>
      <c r="C24" s="597" t="s">
        <v>416</v>
      </c>
      <c r="D24" s="606">
        <f>(177.3*3000*0.00001)+2.5%*(177.3*3000*0.00001)</f>
        <v>5.4519750000000009</v>
      </c>
      <c r="E24" s="611">
        <v>0</v>
      </c>
      <c r="F24" s="612">
        <f t="shared" si="1"/>
        <v>5.4519750000000009</v>
      </c>
      <c r="G24" s="763" t="s">
        <v>785</v>
      </c>
      <c r="H24" s="608"/>
      <c r="I24" s="608"/>
    </row>
    <row r="25" spans="1:9" ht="22.5" customHeight="1" x14ac:dyDescent="0.2">
      <c r="A25" s="1582"/>
      <c r="B25" s="1584"/>
      <c r="C25" s="597" t="s">
        <v>418</v>
      </c>
      <c r="D25" s="606">
        <f>(59.65*3000*0.00001)+2.5%*(59.65*3000*0.00001)</f>
        <v>1.8342375000000002</v>
      </c>
      <c r="E25" s="611">
        <v>0</v>
      </c>
      <c r="F25" s="612">
        <f t="shared" si="1"/>
        <v>1.8342375000000002</v>
      </c>
      <c r="G25" s="763" t="s">
        <v>785</v>
      </c>
      <c r="H25" s="608"/>
      <c r="I25" s="608"/>
    </row>
    <row r="26" spans="1:9" ht="30" customHeight="1" thickBot="1" x14ac:dyDescent="0.25">
      <c r="A26" s="613">
        <v>15</v>
      </c>
      <c r="B26" s="896" t="s">
        <v>860</v>
      </c>
      <c r="C26" s="895" t="s">
        <v>634</v>
      </c>
      <c r="D26" s="614">
        <f>(D5+D6+D10+D11+D12+D13+D14+D15+D24+D25)*5%</f>
        <v>6.3056308770324998</v>
      </c>
      <c r="E26" s="611">
        <v>0</v>
      </c>
      <c r="F26" s="615">
        <f t="shared" si="1"/>
        <v>6.3056308770324998</v>
      </c>
      <c r="G26" s="599"/>
    </row>
    <row r="27" spans="1:9" ht="22.5" customHeight="1" thickBot="1" x14ac:dyDescent="0.25">
      <c r="A27" s="616"/>
      <c r="B27" s="591" t="s">
        <v>18</v>
      </c>
      <c r="C27" s="592"/>
      <c r="D27" s="617">
        <f>SUM(D5:D26)</f>
        <v>142.9982484176825</v>
      </c>
      <c r="E27" s="618">
        <f>SUM(E5:E26)</f>
        <v>57.78008779999999</v>
      </c>
      <c r="F27" s="617">
        <f>SUM(F5:F26)</f>
        <v>200.77833621768255</v>
      </c>
      <c r="G27" s="591"/>
    </row>
    <row r="28" spans="1:9" x14ac:dyDescent="0.2">
      <c r="A28" s="619" t="s">
        <v>1077</v>
      </c>
      <c r="E28" s="620"/>
    </row>
    <row r="29" spans="1:9" x14ac:dyDescent="0.2">
      <c r="A29" s="1586"/>
      <c r="B29" s="1586"/>
      <c r="E29" s="620"/>
    </row>
  </sheetData>
  <mergeCells count="35">
    <mergeCell ref="A10:A11"/>
    <mergeCell ref="A1:G1"/>
    <mergeCell ref="A2:G2"/>
    <mergeCell ref="A5:A6"/>
    <mergeCell ref="B5:B6"/>
    <mergeCell ref="A7:A8"/>
    <mergeCell ref="B7:B8"/>
    <mergeCell ref="C7:C8"/>
    <mergeCell ref="D7:D8"/>
    <mergeCell ref="E7:E8"/>
    <mergeCell ref="F7:F8"/>
    <mergeCell ref="G7:G8"/>
    <mergeCell ref="B10:B11"/>
    <mergeCell ref="G10:G11"/>
    <mergeCell ref="A14:A15"/>
    <mergeCell ref="B14:B15"/>
    <mergeCell ref="G14:G15"/>
    <mergeCell ref="A12:A13"/>
    <mergeCell ref="B12:B13"/>
    <mergeCell ref="G12:G13"/>
    <mergeCell ref="A16:A17"/>
    <mergeCell ref="B16:B17"/>
    <mergeCell ref="G16:G17"/>
    <mergeCell ref="A29:B29"/>
    <mergeCell ref="A18:A19"/>
    <mergeCell ref="B18:B19"/>
    <mergeCell ref="G18:G19"/>
    <mergeCell ref="A20:A21"/>
    <mergeCell ref="B20:B21"/>
    <mergeCell ref="G20:G21"/>
    <mergeCell ref="A22:A23"/>
    <mergeCell ref="B22:B23"/>
    <mergeCell ref="G22:G23"/>
    <mergeCell ref="A24:A25"/>
    <mergeCell ref="B24:B25"/>
  </mergeCells>
  <pageMargins left="0.44" right="0.23" top="0.27" bottom="0.26" header="0.17" footer="0.15"/>
  <pageSetup paperSize="9" scale="87"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theme="5" tint="0.39997558519241921"/>
    <pageSetUpPr fitToPage="1"/>
  </sheetPr>
  <dimension ref="A1:X34"/>
  <sheetViews>
    <sheetView view="pageBreakPreview" topLeftCell="A8" zoomScale="90" zoomScaleNormal="90" zoomScaleSheetLayoutView="90" workbookViewId="0">
      <selection activeCell="R21" sqref="R21"/>
    </sheetView>
  </sheetViews>
  <sheetFormatPr defaultRowHeight="15" x14ac:dyDescent="0.25"/>
  <cols>
    <col min="1" max="1" width="9.140625" style="807"/>
    <col min="2" max="2" width="15.140625" style="807" customWidth="1"/>
    <col min="3" max="3" width="8.7109375" style="807" customWidth="1"/>
    <col min="4" max="4" width="9" style="807" customWidth="1"/>
    <col min="5" max="5" width="7.42578125" style="807" customWidth="1"/>
    <col min="6" max="6" width="9.140625" style="807" customWidth="1"/>
    <col min="7" max="7" width="9.5703125" style="807" customWidth="1"/>
    <col min="8" max="8" width="8.140625" style="807" customWidth="1"/>
    <col min="9" max="9" width="6.85546875" style="807" customWidth="1"/>
    <col min="10" max="10" width="9.28515625" style="807" customWidth="1"/>
    <col min="11" max="11" width="10.5703125" style="807" customWidth="1"/>
    <col min="12" max="12" width="8.7109375" style="807" customWidth="1"/>
    <col min="13" max="13" width="7.42578125" style="807" customWidth="1"/>
    <col min="14" max="14" width="8.5703125" style="807" customWidth="1"/>
    <col min="15" max="15" width="8.7109375" style="807" customWidth="1"/>
    <col min="16" max="16" width="8.5703125" style="807" customWidth="1"/>
    <col min="17" max="17" width="7.85546875" style="807" customWidth="1"/>
    <col min="18" max="18" width="8.5703125" style="807" customWidth="1"/>
    <col min="19" max="20" width="10.5703125" style="807" customWidth="1"/>
    <col min="21" max="21" width="11.140625" style="807" customWidth="1"/>
    <col min="22" max="22" width="10.7109375" style="807" bestFit="1" customWidth="1"/>
    <col min="23" max="257" width="9.140625" style="807"/>
    <col min="258" max="258" width="11.28515625" style="807" customWidth="1"/>
    <col min="259" max="259" width="9.7109375" style="807" customWidth="1"/>
    <col min="260" max="260" width="8.140625" style="807" customWidth="1"/>
    <col min="261" max="261" width="7.42578125" style="807" customWidth="1"/>
    <col min="262" max="262" width="9.140625" style="807" customWidth="1"/>
    <col min="263" max="263" width="9.5703125" style="807" customWidth="1"/>
    <col min="264" max="264" width="8.140625" style="807" customWidth="1"/>
    <col min="265" max="265" width="6.85546875" style="807" customWidth="1"/>
    <col min="266" max="266" width="9.28515625" style="807" customWidth="1"/>
    <col min="267" max="267" width="10.5703125" style="807" customWidth="1"/>
    <col min="268" max="268" width="8.7109375" style="807" customWidth="1"/>
    <col min="269" max="269" width="7.42578125" style="807" customWidth="1"/>
    <col min="270" max="270" width="8.5703125" style="807" customWidth="1"/>
    <col min="271" max="271" width="8.7109375" style="807" customWidth="1"/>
    <col min="272" max="272" width="8.5703125" style="807" customWidth="1"/>
    <col min="273" max="273" width="7.85546875" style="807" customWidth="1"/>
    <col min="274" max="274" width="8.5703125" style="807" customWidth="1"/>
    <col min="275" max="276" width="10.5703125" style="807" customWidth="1"/>
    <col min="277" max="277" width="11.140625" style="807" customWidth="1"/>
    <col min="278" max="278" width="10.7109375" style="807" bestFit="1" customWidth="1"/>
    <col min="279" max="513" width="9.140625" style="807"/>
    <col min="514" max="514" width="11.28515625" style="807" customWidth="1"/>
    <col min="515" max="515" width="9.7109375" style="807" customWidth="1"/>
    <col min="516" max="516" width="8.140625" style="807" customWidth="1"/>
    <col min="517" max="517" width="7.42578125" style="807" customWidth="1"/>
    <col min="518" max="518" width="9.140625" style="807" customWidth="1"/>
    <col min="519" max="519" width="9.5703125" style="807" customWidth="1"/>
    <col min="520" max="520" width="8.140625" style="807" customWidth="1"/>
    <col min="521" max="521" width="6.85546875" style="807" customWidth="1"/>
    <col min="522" max="522" width="9.28515625" style="807" customWidth="1"/>
    <col min="523" max="523" width="10.5703125" style="807" customWidth="1"/>
    <col min="524" max="524" width="8.7109375" style="807" customWidth="1"/>
    <col min="525" max="525" width="7.42578125" style="807" customWidth="1"/>
    <col min="526" max="526" width="8.5703125" style="807" customWidth="1"/>
    <col min="527" max="527" width="8.7109375" style="807" customWidth="1"/>
    <col min="528" max="528" width="8.5703125" style="807" customWidth="1"/>
    <col min="529" max="529" width="7.85546875" style="807" customWidth="1"/>
    <col min="530" max="530" width="8.5703125" style="807" customWidth="1"/>
    <col min="531" max="532" width="10.5703125" style="807" customWidth="1"/>
    <col min="533" max="533" width="11.140625" style="807" customWidth="1"/>
    <col min="534" max="534" width="10.7109375" style="807" bestFit="1" customWidth="1"/>
    <col min="535" max="769" width="9.140625" style="807"/>
    <col min="770" max="770" width="11.28515625" style="807" customWidth="1"/>
    <col min="771" max="771" width="9.7109375" style="807" customWidth="1"/>
    <col min="772" max="772" width="8.140625" style="807" customWidth="1"/>
    <col min="773" max="773" width="7.42578125" style="807" customWidth="1"/>
    <col min="774" max="774" width="9.140625" style="807" customWidth="1"/>
    <col min="775" max="775" width="9.5703125" style="807" customWidth="1"/>
    <col min="776" max="776" width="8.140625" style="807" customWidth="1"/>
    <col min="777" max="777" width="6.85546875" style="807" customWidth="1"/>
    <col min="778" max="778" width="9.28515625" style="807" customWidth="1"/>
    <col min="779" max="779" width="10.5703125" style="807" customWidth="1"/>
    <col min="780" max="780" width="8.7109375" style="807" customWidth="1"/>
    <col min="781" max="781" width="7.42578125" style="807" customWidth="1"/>
    <col min="782" max="782" width="8.5703125" style="807" customWidth="1"/>
    <col min="783" max="783" width="8.7109375" style="807" customWidth="1"/>
    <col min="784" max="784" width="8.5703125" style="807" customWidth="1"/>
    <col min="785" max="785" width="7.85546875" style="807" customWidth="1"/>
    <col min="786" max="786" width="8.5703125" style="807" customWidth="1"/>
    <col min="787" max="788" width="10.5703125" style="807" customWidth="1"/>
    <col min="789" max="789" width="11.140625" style="807" customWidth="1"/>
    <col min="790" max="790" width="10.7109375" style="807" bestFit="1" customWidth="1"/>
    <col min="791" max="1025" width="9.140625" style="807"/>
    <col min="1026" max="1026" width="11.28515625" style="807" customWidth="1"/>
    <col min="1027" max="1027" width="9.7109375" style="807" customWidth="1"/>
    <col min="1028" max="1028" width="8.140625" style="807" customWidth="1"/>
    <col min="1029" max="1029" width="7.42578125" style="807" customWidth="1"/>
    <col min="1030" max="1030" width="9.140625" style="807" customWidth="1"/>
    <col min="1031" max="1031" width="9.5703125" style="807" customWidth="1"/>
    <col min="1032" max="1032" width="8.140625" style="807" customWidth="1"/>
    <col min="1033" max="1033" width="6.85546875" style="807" customWidth="1"/>
    <col min="1034" max="1034" width="9.28515625" style="807" customWidth="1"/>
    <col min="1035" max="1035" width="10.5703125" style="807" customWidth="1"/>
    <col min="1036" max="1036" width="8.7109375" style="807" customWidth="1"/>
    <col min="1037" max="1037" width="7.42578125" style="807" customWidth="1"/>
    <col min="1038" max="1038" width="8.5703125" style="807" customWidth="1"/>
    <col min="1039" max="1039" width="8.7109375" style="807" customWidth="1"/>
    <col min="1040" max="1040" width="8.5703125" style="807" customWidth="1"/>
    <col min="1041" max="1041" width="7.85546875" style="807" customWidth="1"/>
    <col min="1042" max="1042" width="8.5703125" style="807" customWidth="1"/>
    <col min="1043" max="1044" width="10.5703125" style="807" customWidth="1"/>
    <col min="1045" max="1045" width="11.140625" style="807" customWidth="1"/>
    <col min="1046" max="1046" width="10.7109375" style="807" bestFit="1" customWidth="1"/>
    <col min="1047" max="1281" width="9.140625" style="807"/>
    <col min="1282" max="1282" width="11.28515625" style="807" customWidth="1"/>
    <col min="1283" max="1283" width="9.7109375" style="807" customWidth="1"/>
    <col min="1284" max="1284" width="8.140625" style="807" customWidth="1"/>
    <col min="1285" max="1285" width="7.42578125" style="807" customWidth="1"/>
    <col min="1286" max="1286" width="9.140625" style="807" customWidth="1"/>
    <col min="1287" max="1287" width="9.5703125" style="807" customWidth="1"/>
    <col min="1288" max="1288" width="8.140625" style="807" customWidth="1"/>
    <col min="1289" max="1289" width="6.85546875" style="807" customWidth="1"/>
    <col min="1290" max="1290" width="9.28515625" style="807" customWidth="1"/>
    <col min="1291" max="1291" width="10.5703125" style="807" customWidth="1"/>
    <col min="1292" max="1292" width="8.7109375" style="807" customWidth="1"/>
    <col min="1293" max="1293" width="7.42578125" style="807" customWidth="1"/>
    <col min="1294" max="1294" width="8.5703125" style="807" customWidth="1"/>
    <col min="1295" max="1295" width="8.7109375" style="807" customWidth="1"/>
    <col min="1296" max="1296" width="8.5703125" style="807" customWidth="1"/>
    <col min="1297" max="1297" width="7.85546875" style="807" customWidth="1"/>
    <col min="1298" max="1298" width="8.5703125" style="807" customWidth="1"/>
    <col min="1299" max="1300" width="10.5703125" style="807" customWidth="1"/>
    <col min="1301" max="1301" width="11.140625" style="807" customWidth="1"/>
    <col min="1302" max="1302" width="10.7109375" style="807" bestFit="1" customWidth="1"/>
    <col min="1303" max="1537" width="9.140625" style="807"/>
    <col min="1538" max="1538" width="11.28515625" style="807" customWidth="1"/>
    <col min="1539" max="1539" width="9.7109375" style="807" customWidth="1"/>
    <col min="1540" max="1540" width="8.140625" style="807" customWidth="1"/>
    <col min="1541" max="1541" width="7.42578125" style="807" customWidth="1"/>
    <col min="1542" max="1542" width="9.140625" style="807" customWidth="1"/>
    <col min="1543" max="1543" width="9.5703125" style="807" customWidth="1"/>
    <col min="1544" max="1544" width="8.140625" style="807" customWidth="1"/>
    <col min="1545" max="1545" width="6.85546875" style="807" customWidth="1"/>
    <col min="1546" max="1546" width="9.28515625" style="807" customWidth="1"/>
    <col min="1547" max="1547" width="10.5703125" style="807" customWidth="1"/>
    <col min="1548" max="1548" width="8.7109375" style="807" customWidth="1"/>
    <col min="1549" max="1549" width="7.42578125" style="807" customWidth="1"/>
    <col min="1550" max="1550" width="8.5703125" style="807" customWidth="1"/>
    <col min="1551" max="1551" width="8.7109375" style="807" customWidth="1"/>
    <col min="1552" max="1552" width="8.5703125" style="807" customWidth="1"/>
    <col min="1553" max="1553" width="7.85546875" style="807" customWidth="1"/>
    <col min="1554" max="1554" width="8.5703125" style="807" customWidth="1"/>
    <col min="1555" max="1556" width="10.5703125" style="807" customWidth="1"/>
    <col min="1557" max="1557" width="11.140625" style="807" customWidth="1"/>
    <col min="1558" max="1558" width="10.7109375" style="807" bestFit="1" customWidth="1"/>
    <col min="1559" max="1793" width="9.140625" style="807"/>
    <col min="1794" max="1794" width="11.28515625" style="807" customWidth="1"/>
    <col min="1795" max="1795" width="9.7109375" style="807" customWidth="1"/>
    <col min="1796" max="1796" width="8.140625" style="807" customWidth="1"/>
    <col min="1797" max="1797" width="7.42578125" style="807" customWidth="1"/>
    <col min="1798" max="1798" width="9.140625" style="807" customWidth="1"/>
    <col min="1799" max="1799" width="9.5703125" style="807" customWidth="1"/>
    <col min="1800" max="1800" width="8.140625" style="807" customWidth="1"/>
    <col min="1801" max="1801" width="6.85546875" style="807" customWidth="1"/>
    <col min="1802" max="1802" width="9.28515625" style="807" customWidth="1"/>
    <col min="1803" max="1803" width="10.5703125" style="807" customWidth="1"/>
    <col min="1804" max="1804" width="8.7109375" style="807" customWidth="1"/>
    <col min="1805" max="1805" width="7.42578125" style="807" customWidth="1"/>
    <col min="1806" max="1806" width="8.5703125" style="807" customWidth="1"/>
    <col min="1807" max="1807" width="8.7109375" style="807" customWidth="1"/>
    <col min="1808" max="1808" width="8.5703125" style="807" customWidth="1"/>
    <col min="1809" max="1809" width="7.85546875" style="807" customWidth="1"/>
    <col min="1810" max="1810" width="8.5703125" style="807" customWidth="1"/>
    <col min="1811" max="1812" width="10.5703125" style="807" customWidth="1"/>
    <col min="1813" max="1813" width="11.140625" style="807" customWidth="1"/>
    <col min="1814" max="1814" width="10.7109375" style="807" bestFit="1" customWidth="1"/>
    <col min="1815" max="2049" width="9.140625" style="807"/>
    <col min="2050" max="2050" width="11.28515625" style="807" customWidth="1"/>
    <col min="2051" max="2051" width="9.7109375" style="807" customWidth="1"/>
    <col min="2052" max="2052" width="8.140625" style="807" customWidth="1"/>
    <col min="2053" max="2053" width="7.42578125" style="807" customWidth="1"/>
    <col min="2054" max="2054" width="9.140625" style="807" customWidth="1"/>
    <col min="2055" max="2055" width="9.5703125" style="807" customWidth="1"/>
    <col min="2056" max="2056" width="8.140625" style="807" customWidth="1"/>
    <col min="2057" max="2057" width="6.85546875" style="807" customWidth="1"/>
    <col min="2058" max="2058" width="9.28515625" style="807" customWidth="1"/>
    <col min="2059" max="2059" width="10.5703125" style="807" customWidth="1"/>
    <col min="2060" max="2060" width="8.7109375" style="807" customWidth="1"/>
    <col min="2061" max="2061" width="7.42578125" style="807" customWidth="1"/>
    <col min="2062" max="2062" width="8.5703125" style="807" customWidth="1"/>
    <col min="2063" max="2063" width="8.7109375" style="807" customWidth="1"/>
    <col min="2064" max="2064" width="8.5703125" style="807" customWidth="1"/>
    <col min="2065" max="2065" width="7.85546875" style="807" customWidth="1"/>
    <col min="2066" max="2066" width="8.5703125" style="807" customWidth="1"/>
    <col min="2067" max="2068" width="10.5703125" style="807" customWidth="1"/>
    <col min="2069" max="2069" width="11.140625" style="807" customWidth="1"/>
    <col min="2070" max="2070" width="10.7109375" style="807" bestFit="1" customWidth="1"/>
    <col min="2071" max="2305" width="9.140625" style="807"/>
    <col min="2306" max="2306" width="11.28515625" style="807" customWidth="1"/>
    <col min="2307" max="2307" width="9.7109375" style="807" customWidth="1"/>
    <col min="2308" max="2308" width="8.140625" style="807" customWidth="1"/>
    <col min="2309" max="2309" width="7.42578125" style="807" customWidth="1"/>
    <col min="2310" max="2310" width="9.140625" style="807" customWidth="1"/>
    <col min="2311" max="2311" width="9.5703125" style="807" customWidth="1"/>
    <col min="2312" max="2312" width="8.140625" style="807" customWidth="1"/>
    <col min="2313" max="2313" width="6.85546875" style="807" customWidth="1"/>
    <col min="2314" max="2314" width="9.28515625" style="807" customWidth="1"/>
    <col min="2315" max="2315" width="10.5703125" style="807" customWidth="1"/>
    <col min="2316" max="2316" width="8.7109375" style="807" customWidth="1"/>
    <col min="2317" max="2317" width="7.42578125" style="807" customWidth="1"/>
    <col min="2318" max="2318" width="8.5703125" style="807" customWidth="1"/>
    <col min="2319" max="2319" width="8.7109375" style="807" customWidth="1"/>
    <col min="2320" max="2320" width="8.5703125" style="807" customWidth="1"/>
    <col min="2321" max="2321" width="7.85546875" style="807" customWidth="1"/>
    <col min="2322" max="2322" width="8.5703125" style="807" customWidth="1"/>
    <col min="2323" max="2324" width="10.5703125" style="807" customWidth="1"/>
    <col min="2325" max="2325" width="11.140625" style="807" customWidth="1"/>
    <col min="2326" max="2326" width="10.7109375" style="807" bestFit="1" customWidth="1"/>
    <col min="2327" max="2561" width="9.140625" style="807"/>
    <col min="2562" max="2562" width="11.28515625" style="807" customWidth="1"/>
    <col min="2563" max="2563" width="9.7109375" style="807" customWidth="1"/>
    <col min="2564" max="2564" width="8.140625" style="807" customWidth="1"/>
    <col min="2565" max="2565" width="7.42578125" style="807" customWidth="1"/>
    <col min="2566" max="2566" width="9.140625" style="807" customWidth="1"/>
    <col min="2567" max="2567" width="9.5703125" style="807" customWidth="1"/>
    <col min="2568" max="2568" width="8.140625" style="807" customWidth="1"/>
    <col min="2569" max="2569" width="6.85546875" style="807" customWidth="1"/>
    <col min="2570" max="2570" width="9.28515625" style="807" customWidth="1"/>
    <col min="2571" max="2571" width="10.5703125" style="807" customWidth="1"/>
    <col min="2572" max="2572" width="8.7109375" style="807" customWidth="1"/>
    <col min="2573" max="2573" width="7.42578125" style="807" customWidth="1"/>
    <col min="2574" max="2574" width="8.5703125" style="807" customWidth="1"/>
    <col min="2575" max="2575" width="8.7109375" style="807" customWidth="1"/>
    <col min="2576" max="2576" width="8.5703125" style="807" customWidth="1"/>
    <col min="2577" max="2577" width="7.85546875" style="807" customWidth="1"/>
    <col min="2578" max="2578" width="8.5703125" style="807" customWidth="1"/>
    <col min="2579" max="2580" width="10.5703125" style="807" customWidth="1"/>
    <col min="2581" max="2581" width="11.140625" style="807" customWidth="1"/>
    <col min="2582" max="2582" width="10.7109375" style="807" bestFit="1" customWidth="1"/>
    <col min="2583" max="2817" width="9.140625" style="807"/>
    <col min="2818" max="2818" width="11.28515625" style="807" customWidth="1"/>
    <col min="2819" max="2819" width="9.7109375" style="807" customWidth="1"/>
    <col min="2820" max="2820" width="8.140625" style="807" customWidth="1"/>
    <col min="2821" max="2821" width="7.42578125" style="807" customWidth="1"/>
    <col min="2822" max="2822" width="9.140625" style="807" customWidth="1"/>
    <col min="2823" max="2823" width="9.5703125" style="807" customWidth="1"/>
    <col min="2824" max="2824" width="8.140625" style="807" customWidth="1"/>
    <col min="2825" max="2825" width="6.85546875" style="807" customWidth="1"/>
    <col min="2826" max="2826" width="9.28515625" style="807" customWidth="1"/>
    <col min="2827" max="2827" width="10.5703125" style="807" customWidth="1"/>
    <col min="2828" max="2828" width="8.7109375" style="807" customWidth="1"/>
    <col min="2829" max="2829" width="7.42578125" style="807" customWidth="1"/>
    <col min="2830" max="2830" width="8.5703125" style="807" customWidth="1"/>
    <col min="2831" max="2831" width="8.7109375" style="807" customWidth="1"/>
    <col min="2832" max="2832" width="8.5703125" style="807" customWidth="1"/>
    <col min="2833" max="2833" width="7.85546875" style="807" customWidth="1"/>
    <col min="2834" max="2834" width="8.5703125" style="807" customWidth="1"/>
    <col min="2835" max="2836" width="10.5703125" style="807" customWidth="1"/>
    <col min="2837" max="2837" width="11.140625" style="807" customWidth="1"/>
    <col min="2838" max="2838" width="10.7109375" style="807" bestFit="1" customWidth="1"/>
    <col min="2839" max="3073" width="9.140625" style="807"/>
    <col min="3074" max="3074" width="11.28515625" style="807" customWidth="1"/>
    <col min="3075" max="3075" width="9.7109375" style="807" customWidth="1"/>
    <col min="3076" max="3076" width="8.140625" style="807" customWidth="1"/>
    <col min="3077" max="3077" width="7.42578125" style="807" customWidth="1"/>
    <col min="3078" max="3078" width="9.140625" style="807" customWidth="1"/>
    <col min="3079" max="3079" width="9.5703125" style="807" customWidth="1"/>
    <col min="3080" max="3080" width="8.140625" style="807" customWidth="1"/>
    <col min="3081" max="3081" width="6.85546875" style="807" customWidth="1"/>
    <col min="3082" max="3082" width="9.28515625" style="807" customWidth="1"/>
    <col min="3083" max="3083" width="10.5703125" style="807" customWidth="1"/>
    <col min="3084" max="3084" width="8.7109375" style="807" customWidth="1"/>
    <col min="3085" max="3085" width="7.42578125" style="807" customWidth="1"/>
    <col min="3086" max="3086" width="8.5703125" style="807" customWidth="1"/>
    <col min="3087" max="3087" width="8.7109375" style="807" customWidth="1"/>
    <col min="3088" max="3088" width="8.5703125" style="807" customWidth="1"/>
    <col min="3089" max="3089" width="7.85546875" style="807" customWidth="1"/>
    <col min="3090" max="3090" width="8.5703125" style="807" customWidth="1"/>
    <col min="3091" max="3092" width="10.5703125" style="807" customWidth="1"/>
    <col min="3093" max="3093" width="11.140625" style="807" customWidth="1"/>
    <col min="3094" max="3094" width="10.7109375" style="807" bestFit="1" customWidth="1"/>
    <col min="3095" max="3329" width="9.140625" style="807"/>
    <col min="3330" max="3330" width="11.28515625" style="807" customWidth="1"/>
    <col min="3331" max="3331" width="9.7109375" style="807" customWidth="1"/>
    <col min="3332" max="3332" width="8.140625" style="807" customWidth="1"/>
    <col min="3333" max="3333" width="7.42578125" style="807" customWidth="1"/>
    <col min="3334" max="3334" width="9.140625" style="807" customWidth="1"/>
    <col min="3335" max="3335" width="9.5703125" style="807" customWidth="1"/>
    <col min="3336" max="3336" width="8.140625" style="807" customWidth="1"/>
    <col min="3337" max="3337" width="6.85546875" style="807" customWidth="1"/>
    <col min="3338" max="3338" width="9.28515625" style="807" customWidth="1"/>
    <col min="3339" max="3339" width="10.5703125" style="807" customWidth="1"/>
    <col min="3340" max="3340" width="8.7109375" style="807" customWidth="1"/>
    <col min="3341" max="3341" width="7.42578125" style="807" customWidth="1"/>
    <col min="3342" max="3342" width="8.5703125" style="807" customWidth="1"/>
    <col min="3343" max="3343" width="8.7109375" style="807" customWidth="1"/>
    <col min="3344" max="3344" width="8.5703125" style="807" customWidth="1"/>
    <col min="3345" max="3345" width="7.85546875" style="807" customWidth="1"/>
    <col min="3346" max="3346" width="8.5703125" style="807" customWidth="1"/>
    <col min="3347" max="3348" width="10.5703125" style="807" customWidth="1"/>
    <col min="3349" max="3349" width="11.140625" style="807" customWidth="1"/>
    <col min="3350" max="3350" width="10.7109375" style="807" bestFit="1" customWidth="1"/>
    <col min="3351" max="3585" width="9.140625" style="807"/>
    <col min="3586" max="3586" width="11.28515625" style="807" customWidth="1"/>
    <col min="3587" max="3587" width="9.7109375" style="807" customWidth="1"/>
    <col min="3588" max="3588" width="8.140625" style="807" customWidth="1"/>
    <col min="3589" max="3589" width="7.42578125" style="807" customWidth="1"/>
    <col min="3590" max="3590" width="9.140625" style="807" customWidth="1"/>
    <col min="3591" max="3591" width="9.5703125" style="807" customWidth="1"/>
    <col min="3592" max="3592" width="8.140625" style="807" customWidth="1"/>
    <col min="3593" max="3593" width="6.85546875" style="807" customWidth="1"/>
    <col min="3594" max="3594" width="9.28515625" style="807" customWidth="1"/>
    <col min="3595" max="3595" width="10.5703125" style="807" customWidth="1"/>
    <col min="3596" max="3596" width="8.7109375" style="807" customWidth="1"/>
    <col min="3597" max="3597" width="7.42578125" style="807" customWidth="1"/>
    <col min="3598" max="3598" width="8.5703125" style="807" customWidth="1"/>
    <col min="3599" max="3599" width="8.7109375" style="807" customWidth="1"/>
    <col min="3600" max="3600" width="8.5703125" style="807" customWidth="1"/>
    <col min="3601" max="3601" width="7.85546875" style="807" customWidth="1"/>
    <col min="3602" max="3602" width="8.5703125" style="807" customWidth="1"/>
    <col min="3603" max="3604" width="10.5703125" style="807" customWidth="1"/>
    <col min="3605" max="3605" width="11.140625" style="807" customWidth="1"/>
    <col min="3606" max="3606" width="10.7109375" style="807" bestFit="1" customWidth="1"/>
    <col min="3607" max="3841" width="9.140625" style="807"/>
    <col min="3842" max="3842" width="11.28515625" style="807" customWidth="1"/>
    <col min="3843" max="3843" width="9.7109375" style="807" customWidth="1"/>
    <col min="3844" max="3844" width="8.140625" style="807" customWidth="1"/>
    <col min="3845" max="3845" width="7.42578125" style="807" customWidth="1"/>
    <col min="3846" max="3846" width="9.140625" style="807" customWidth="1"/>
    <col min="3847" max="3847" width="9.5703125" style="807" customWidth="1"/>
    <col min="3848" max="3848" width="8.140625" style="807" customWidth="1"/>
    <col min="3849" max="3849" width="6.85546875" style="807" customWidth="1"/>
    <col min="3850" max="3850" width="9.28515625" style="807" customWidth="1"/>
    <col min="3851" max="3851" width="10.5703125" style="807" customWidth="1"/>
    <col min="3852" max="3852" width="8.7109375" style="807" customWidth="1"/>
    <col min="3853" max="3853" width="7.42578125" style="807" customWidth="1"/>
    <col min="3854" max="3854" width="8.5703125" style="807" customWidth="1"/>
    <col min="3855" max="3855" width="8.7109375" style="807" customWidth="1"/>
    <col min="3856" max="3856" width="8.5703125" style="807" customWidth="1"/>
    <col min="3857" max="3857" width="7.85546875" style="807" customWidth="1"/>
    <col min="3858" max="3858" width="8.5703125" style="807" customWidth="1"/>
    <col min="3859" max="3860" width="10.5703125" style="807" customWidth="1"/>
    <col min="3861" max="3861" width="11.140625" style="807" customWidth="1"/>
    <col min="3862" max="3862" width="10.7109375" style="807" bestFit="1" customWidth="1"/>
    <col min="3863" max="4097" width="9.140625" style="807"/>
    <col min="4098" max="4098" width="11.28515625" style="807" customWidth="1"/>
    <col min="4099" max="4099" width="9.7109375" style="807" customWidth="1"/>
    <col min="4100" max="4100" width="8.140625" style="807" customWidth="1"/>
    <col min="4101" max="4101" width="7.42578125" style="807" customWidth="1"/>
    <col min="4102" max="4102" width="9.140625" style="807" customWidth="1"/>
    <col min="4103" max="4103" width="9.5703125" style="807" customWidth="1"/>
    <col min="4104" max="4104" width="8.140625" style="807" customWidth="1"/>
    <col min="4105" max="4105" width="6.85546875" style="807" customWidth="1"/>
    <col min="4106" max="4106" width="9.28515625" style="807" customWidth="1"/>
    <col min="4107" max="4107" width="10.5703125" style="807" customWidth="1"/>
    <col min="4108" max="4108" width="8.7109375" style="807" customWidth="1"/>
    <col min="4109" max="4109" width="7.42578125" style="807" customWidth="1"/>
    <col min="4110" max="4110" width="8.5703125" style="807" customWidth="1"/>
    <col min="4111" max="4111" width="8.7109375" style="807" customWidth="1"/>
    <col min="4112" max="4112" width="8.5703125" style="807" customWidth="1"/>
    <col min="4113" max="4113" width="7.85546875" style="807" customWidth="1"/>
    <col min="4114" max="4114" width="8.5703125" style="807" customWidth="1"/>
    <col min="4115" max="4116" width="10.5703125" style="807" customWidth="1"/>
    <col min="4117" max="4117" width="11.140625" style="807" customWidth="1"/>
    <col min="4118" max="4118" width="10.7109375" style="807" bestFit="1" customWidth="1"/>
    <col min="4119" max="4353" width="9.140625" style="807"/>
    <col min="4354" max="4354" width="11.28515625" style="807" customWidth="1"/>
    <col min="4355" max="4355" width="9.7109375" style="807" customWidth="1"/>
    <col min="4356" max="4356" width="8.140625" style="807" customWidth="1"/>
    <col min="4357" max="4357" width="7.42578125" style="807" customWidth="1"/>
    <col min="4358" max="4358" width="9.140625" style="807" customWidth="1"/>
    <col min="4359" max="4359" width="9.5703125" style="807" customWidth="1"/>
    <col min="4360" max="4360" width="8.140625" style="807" customWidth="1"/>
    <col min="4361" max="4361" width="6.85546875" style="807" customWidth="1"/>
    <col min="4362" max="4362" width="9.28515625" style="807" customWidth="1"/>
    <col min="4363" max="4363" width="10.5703125" style="807" customWidth="1"/>
    <col min="4364" max="4364" width="8.7109375" style="807" customWidth="1"/>
    <col min="4365" max="4365" width="7.42578125" style="807" customWidth="1"/>
    <col min="4366" max="4366" width="8.5703125" style="807" customWidth="1"/>
    <col min="4367" max="4367" width="8.7109375" style="807" customWidth="1"/>
    <col min="4368" max="4368" width="8.5703125" style="807" customWidth="1"/>
    <col min="4369" max="4369" width="7.85546875" style="807" customWidth="1"/>
    <col min="4370" max="4370" width="8.5703125" style="807" customWidth="1"/>
    <col min="4371" max="4372" width="10.5703125" style="807" customWidth="1"/>
    <col min="4373" max="4373" width="11.140625" style="807" customWidth="1"/>
    <col min="4374" max="4374" width="10.7109375" style="807" bestFit="1" customWidth="1"/>
    <col min="4375" max="4609" width="9.140625" style="807"/>
    <col min="4610" max="4610" width="11.28515625" style="807" customWidth="1"/>
    <col min="4611" max="4611" width="9.7109375" style="807" customWidth="1"/>
    <col min="4612" max="4612" width="8.140625" style="807" customWidth="1"/>
    <col min="4613" max="4613" width="7.42578125" style="807" customWidth="1"/>
    <col min="4614" max="4614" width="9.140625" style="807" customWidth="1"/>
    <col min="4615" max="4615" width="9.5703125" style="807" customWidth="1"/>
    <col min="4616" max="4616" width="8.140625" style="807" customWidth="1"/>
    <col min="4617" max="4617" width="6.85546875" style="807" customWidth="1"/>
    <col min="4618" max="4618" width="9.28515625" style="807" customWidth="1"/>
    <col min="4619" max="4619" width="10.5703125" style="807" customWidth="1"/>
    <col min="4620" max="4620" width="8.7109375" style="807" customWidth="1"/>
    <col min="4621" max="4621" width="7.42578125" style="807" customWidth="1"/>
    <col min="4622" max="4622" width="8.5703125" style="807" customWidth="1"/>
    <col min="4623" max="4623" width="8.7109375" style="807" customWidth="1"/>
    <col min="4624" max="4624" width="8.5703125" style="807" customWidth="1"/>
    <col min="4625" max="4625" width="7.85546875" style="807" customWidth="1"/>
    <col min="4626" max="4626" width="8.5703125" style="807" customWidth="1"/>
    <col min="4627" max="4628" width="10.5703125" style="807" customWidth="1"/>
    <col min="4629" max="4629" width="11.140625" style="807" customWidth="1"/>
    <col min="4630" max="4630" width="10.7109375" style="807" bestFit="1" customWidth="1"/>
    <col min="4631" max="4865" width="9.140625" style="807"/>
    <col min="4866" max="4866" width="11.28515625" style="807" customWidth="1"/>
    <col min="4867" max="4867" width="9.7109375" style="807" customWidth="1"/>
    <col min="4868" max="4868" width="8.140625" style="807" customWidth="1"/>
    <col min="4869" max="4869" width="7.42578125" style="807" customWidth="1"/>
    <col min="4870" max="4870" width="9.140625" style="807" customWidth="1"/>
    <col min="4871" max="4871" width="9.5703125" style="807" customWidth="1"/>
    <col min="4872" max="4872" width="8.140625" style="807" customWidth="1"/>
    <col min="4873" max="4873" width="6.85546875" style="807" customWidth="1"/>
    <col min="4874" max="4874" width="9.28515625" style="807" customWidth="1"/>
    <col min="4875" max="4875" width="10.5703125" style="807" customWidth="1"/>
    <col min="4876" max="4876" width="8.7109375" style="807" customWidth="1"/>
    <col min="4877" max="4877" width="7.42578125" style="807" customWidth="1"/>
    <col min="4878" max="4878" width="8.5703125" style="807" customWidth="1"/>
    <col min="4879" max="4879" width="8.7109375" style="807" customWidth="1"/>
    <col min="4880" max="4880" width="8.5703125" style="807" customWidth="1"/>
    <col min="4881" max="4881" width="7.85546875" style="807" customWidth="1"/>
    <col min="4882" max="4882" width="8.5703125" style="807" customWidth="1"/>
    <col min="4883" max="4884" width="10.5703125" style="807" customWidth="1"/>
    <col min="4885" max="4885" width="11.140625" style="807" customWidth="1"/>
    <col min="4886" max="4886" width="10.7109375" style="807" bestFit="1" customWidth="1"/>
    <col min="4887" max="5121" width="9.140625" style="807"/>
    <col min="5122" max="5122" width="11.28515625" style="807" customWidth="1"/>
    <col min="5123" max="5123" width="9.7109375" style="807" customWidth="1"/>
    <col min="5124" max="5124" width="8.140625" style="807" customWidth="1"/>
    <col min="5125" max="5125" width="7.42578125" style="807" customWidth="1"/>
    <col min="5126" max="5126" width="9.140625" style="807" customWidth="1"/>
    <col min="5127" max="5127" width="9.5703125" style="807" customWidth="1"/>
    <col min="5128" max="5128" width="8.140625" style="807" customWidth="1"/>
    <col min="5129" max="5129" width="6.85546875" style="807" customWidth="1"/>
    <col min="5130" max="5130" width="9.28515625" style="807" customWidth="1"/>
    <col min="5131" max="5131" width="10.5703125" style="807" customWidth="1"/>
    <col min="5132" max="5132" width="8.7109375" style="807" customWidth="1"/>
    <col min="5133" max="5133" width="7.42578125" style="807" customWidth="1"/>
    <col min="5134" max="5134" width="8.5703125" style="807" customWidth="1"/>
    <col min="5135" max="5135" width="8.7109375" style="807" customWidth="1"/>
    <col min="5136" max="5136" width="8.5703125" style="807" customWidth="1"/>
    <col min="5137" max="5137" width="7.85546875" style="807" customWidth="1"/>
    <col min="5138" max="5138" width="8.5703125" style="807" customWidth="1"/>
    <col min="5139" max="5140" width="10.5703125" style="807" customWidth="1"/>
    <col min="5141" max="5141" width="11.140625" style="807" customWidth="1"/>
    <col min="5142" max="5142" width="10.7109375" style="807" bestFit="1" customWidth="1"/>
    <col min="5143" max="5377" width="9.140625" style="807"/>
    <col min="5378" max="5378" width="11.28515625" style="807" customWidth="1"/>
    <col min="5379" max="5379" width="9.7109375" style="807" customWidth="1"/>
    <col min="5380" max="5380" width="8.140625" style="807" customWidth="1"/>
    <col min="5381" max="5381" width="7.42578125" style="807" customWidth="1"/>
    <col min="5382" max="5382" width="9.140625" style="807" customWidth="1"/>
    <col min="5383" max="5383" width="9.5703125" style="807" customWidth="1"/>
    <col min="5384" max="5384" width="8.140625" style="807" customWidth="1"/>
    <col min="5385" max="5385" width="6.85546875" style="807" customWidth="1"/>
    <col min="5386" max="5386" width="9.28515625" style="807" customWidth="1"/>
    <col min="5387" max="5387" width="10.5703125" style="807" customWidth="1"/>
    <col min="5388" max="5388" width="8.7109375" style="807" customWidth="1"/>
    <col min="5389" max="5389" width="7.42578125" style="807" customWidth="1"/>
    <col min="5390" max="5390" width="8.5703125" style="807" customWidth="1"/>
    <col min="5391" max="5391" width="8.7109375" style="807" customWidth="1"/>
    <col min="5392" max="5392" width="8.5703125" style="807" customWidth="1"/>
    <col min="5393" max="5393" width="7.85546875" style="807" customWidth="1"/>
    <col min="5394" max="5394" width="8.5703125" style="807" customWidth="1"/>
    <col min="5395" max="5396" width="10.5703125" style="807" customWidth="1"/>
    <col min="5397" max="5397" width="11.140625" style="807" customWidth="1"/>
    <col min="5398" max="5398" width="10.7109375" style="807" bestFit="1" customWidth="1"/>
    <col min="5399" max="5633" width="9.140625" style="807"/>
    <col min="5634" max="5634" width="11.28515625" style="807" customWidth="1"/>
    <col min="5635" max="5635" width="9.7109375" style="807" customWidth="1"/>
    <col min="5636" max="5636" width="8.140625" style="807" customWidth="1"/>
    <col min="5637" max="5637" width="7.42578125" style="807" customWidth="1"/>
    <col min="5638" max="5638" width="9.140625" style="807" customWidth="1"/>
    <col min="5639" max="5639" width="9.5703125" style="807" customWidth="1"/>
    <col min="5640" max="5640" width="8.140625" style="807" customWidth="1"/>
    <col min="5641" max="5641" width="6.85546875" style="807" customWidth="1"/>
    <col min="5642" max="5642" width="9.28515625" style="807" customWidth="1"/>
    <col min="5643" max="5643" width="10.5703125" style="807" customWidth="1"/>
    <col min="5644" max="5644" width="8.7109375" style="807" customWidth="1"/>
    <col min="5645" max="5645" width="7.42578125" style="807" customWidth="1"/>
    <col min="5646" max="5646" width="8.5703125" style="807" customWidth="1"/>
    <col min="5647" max="5647" width="8.7109375" style="807" customWidth="1"/>
    <col min="5648" max="5648" width="8.5703125" style="807" customWidth="1"/>
    <col min="5649" max="5649" width="7.85546875" style="807" customWidth="1"/>
    <col min="5650" max="5650" width="8.5703125" style="807" customWidth="1"/>
    <col min="5651" max="5652" width="10.5703125" style="807" customWidth="1"/>
    <col min="5653" max="5653" width="11.140625" style="807" customWidth="1"/>
    <col min="5654" max="5654" width="10.7109375" style="807" bestFit="1" customWidth="1"/>
    <col min="5655" max="5889" width="9.140625" style="807"/>
    <col min="5890" max="5890" width="11.28515625" style="807" customWidth="1"/>
    <col min="5891" max="5891" width="9.7109375" style="807" customWidth="1"/>
    <col min="5892" max="5892" width="8.140625" style="807" customWidth="1"/>
    <col min="5893" max="5893" width="7.42578125" style="807" customWidth="1"/>
    <col min="5894" max="5894" width="9.140625" style="807" customWidth="1"/>
    <col min="5895" max="5895" width="9.5703125" style="807" customWidth="1"/>
    <col min="5896" max="5896" width="8.140625" style="807" customWidth="1"/>
    <col min="5897" max="5897" width="6.85546875" style="807" customWidth="1"/>
    <col min="5898" max="5898" width="9.28515625" style="807" customWidth="1"/>
    <col min="5899" max="5899" width="10.5703125" style="807" customWidth="1"/>
    <col min="5900" max="5900" width="8.7109375" style="807" customWidth="1"/>
    <col min="5901" max="5901" width="7.42578125" style="807" customWidth="1"/>
    <col min="5902" max="5902" width="8.5703125" style="807" customWidth="1"/>
    <col min="5903" max="5903" width="8.7109375" style="807" customWidth="1"/>
    <col min="5904" max="5904" width="8.5703125" style="807" customWidth="1"/>
    <col min="5905" max="5905" width="7.85546875" style="807" customWidth="1"/>
    <col min="5906" max="5906" width="8.5703125" style="807" customWidth="1"/>
    <col min="5907" max="5908" width="10.5703125" style="807" customWidth="1"/>
    <col min="5909" max="5909" width="11.140625" style="807" customWidth="1"/>
    <col min="5910" max="5910" width="10.7109375" style="807" bestFit="1" customWidth="1"/>
    <col min="5911" max="6145" width="9.140625" style="807"/>
    <col min="6146" max="6146" width="11.28515625" style="807" customWidth="1"/>
    <col min="6147" max="6147" width="9.7109375" style="807" customWidth="1"/>
    <col min="6148" max="6148" width="8.140625" style="807" customWidth="1"/>
    <col min="6149" max="6149" width="7.42578125" style="807" customWidth="1"/>
    <col min="6150" max="6150" width="9.140625" style="807" customWidth="1"/>
    <col min="6151" max="6151" width="9.5703125" style="807" customWidth="1"/>
    <col min="6152" max="6152" width="8.140625" style="807" customWidth="1"/>
    <col min="6153" max="6153" width="6.85546875" style="807" customWidth="1"/>
    <col min="6154" max="6154" width="9.28515625" style="807" customWidth="1"/>
    <col min="6155" max="6155" width="10.5703125" style="807" customWidth="1"/>
    <col min="6156" max="6156" width="8.7109375" style="807" customWidth="1"/>
    <col min="6157" max="6157" width="7.42578125" style="807" customWidth="1"/>
    <col min="6158" max="6158" width="8.5703125" style="807" customWidth="1"/>
    <col min="6159" max="6159" width="8.7109375" style="807" customWidth="1"/>
    <col min="6160" max="6160" width="8.5703125" style="807" customWidth="1"/>
    <col min="6161" max="6161" width="7.85546875" style="807" customWidth="1"/>
    <col min="6162" max="6162" width="8.5703125" style="807" customWidth="1"/>
    <col min="6163" max="6164" width="10.5703125" style="807" customWidth="1"/>
    <col min="6165" max="6165" width="11.140625" style="807" customWidth="1"/>
    <col min="6166" max="6166" width="10.7109375" style="807" bestFit="1" customWidth="1"/>
    <col min="6167" max="6401" width="9.140625" style="807"/>
    <col min="6402" max="6402" width="11.28515625" style="807" customWidth="1"/>
    <col min="6403" max="6403" width="9.7109375" style="807" customWidth="1"/>
    <col min="6404" max="6404" width="8.140625" style="807" customWidth="1"/>
    <col min="6405" max="6405" width="7.42578125" style="807" customWidth="1"/>
    <col min="6406" max="6406" width="9.140625" style="807" customWidth="1"/>
    <col min="6407" max="6407" width="9.5703125" style="807" customWidth="1"/>
    <col min="6408" max="6408" width="8.140625" style="807" customWidth="1"/>
    <col min="6409" max="6409" width="6.85546875" style="807" customWidth="1"/>
    <col min="6410" max="6410" width="9.28515625" style="807" customWidth="1"/>
    <col min="6411" max="6411" width="10.5703125" style="807" customWidth="1"/>
    <col min="6412" max="6412" width="8.7109375" style="807" customWidth="1"/>
    <col min="6413" max="6413" width="7.42578125" style="807" customWidth="1"/>
    <col min="6414" max="6414" width="8.5703125" style="807" customWidth="1"/>
    <col min="6415" max="6415" width="8.7109375" style="807" customWidth="1"/>
    <col min="6416" max="6416" width="8.5703125" style="807" customWidth="1"/>
    <col min="6417" max="6417" width="7.85546875" style="807" customWidth="1"/>
    <col min="6418" max="6418" width="8.5703125" style="807" customWidth="1"/>
    <col min="6419" max="6420" width="10.5703125" style="807" customWidth="1"/>
    <col min="6421" max="6421" width="11.140625" style="807" customWidth="1"/>
    <col min="6422" max="6422" width="10.7109375" style="807" bestFit="1" customWidth="1"/>
    <col min="6423" max="6657" width="9.140625" style="807"/>
    <col min="6658" max="6658" width="11.28515625" style="807" customWidth="1"/>
    <col min="6659" max="6659" width="9.7109375" style="807" customWidth="1"/>
    <col min="6660" max="6660" width="8.140625" style="807" customWidth="1"/>
    <col min="6661" max="6661" width="7.42578125" style="807" customWidth="1"/>
    <col min="6662" max="6662" width="9.140625" style="807" customWidth="1"/>
    <col min="6663" max="6663" width="9.5703125" style="807" customWidth="1"/>
    <col min="6664" max="6664" width="8.140625" style="807" customWidth="1"/>
    <col min="6665" max="6665" width="6.85546875" style="807" customWidth="1"/>
    <col min="6666" max="6666" width="9.28515625" style="807" customWidth="1"/>
    <col min="6667" max="6667" width="10.5703125" style="807" customWidth="1"/>
    <col min="6668" max="6668" width="8.7109375" style="807" customWidth="1"/>
    <col min="6669" max="6669" width="7.42578125" style="807" customWidth="1"/>
    <col min="6670" max="6670" width="8.5703125" style="807" customWidth="1"/>
    <col min="6671" max="6671" width="8.7109375" style="807" customWidth="1"/>
    <col min="6672" max="6672" width="8.5703125" style="807" customWidth="1"/>
    <col min="6673" max="6673" width="7.85546875" style="807" customWidth="1"/>
    <col min="6674" max="6674" width="8.5703125" style="807" customWidth="1"/>
    <col min="6675" max="6676" width="10.5703125" style="807" customWidth="1"/>
    <col min="6677" max="6677" width="11.140625" style="807" customWidth="1"/>
    <col min="6678" max="6678" width="10.7109375" style="807" bestFit="1" customWidth="1"/>
    <col min="6679" max="6913" width="9.140625" style="807"/>
    <col min="6914" max="6914" width="11.28515625" style="807" customWidth="1"/>
    <col min="6915" max="6915" width="9.7109375" style="807" customWidth="1"/>
    <col min="6916" max="6916" width="8.140625" style="807" customWidth="1"/>
    <col min="6917" max="6917" width="7.42578125" style="807" customWidth="1"/>
    <col min="6918" max="6918" width="9.140625" style="807" customWidth="1"/>
    <col min="6919" max="6919" width="9.5703125" style="807" customWidth="1"/>
    <col min="6920" max="6920" width="8.140625" style="807" customWidth="1"/>
    <col min="6921" max="6921" width="6.85546875" style="807" customWidth="1"/>
    <col min="6922" max="6922" width="9.28515625" style="807" customWidth="1"/>
    <col min="6923" max="6923" width="10.5703125" style="807" customWidth="1"/>
    <col min="6924" max="6924" width="8.7109375" style="807" customWidth="1"/>
    <col min="6925" max="6925" width="7.42578125" style="807" customWidth="1"/>
    <col min="6926" max="6926" width="8.5703125" style="807" customWidth="1"/>
    <col min="6927" max="6927" width="8.7109375" style="807" customWidth="1"/>
    <col min="6928" max="6928" width="8.5703125" style="807" customWidth="1"/>
    <col min="6929" max="6929" width="7.85546875" style="807" customWidth="1"/>
    <col min="6930" max="6930" width="8.5703125" style="807" customWidth="1"/>
    <col min="6931" max="6932" width="10.5703125" style="807" customWidth="1"/>
    <col min="6933" max="6933" width="11.140625" style="807" customWidth="1"/>
    <col min="6934" max="6934" width="10.7109375" style="807" bestFit="1" customWidth="1"/>
    <col min="6935" max="7169" width="9.140625" style="807"/>
    <col min="7170" max="7170" width="11.28515625" style="807" customWidth="1"/>
    <col min="7171" max="7171" width="9.7109375" style="807" customWidth="1"/>
    <col min="7172" max="7172" width="8.140625" style="807" customWidth="1"/>
    <col min="7173" max="7173" width="7.42578125" style="807" customWidth="1"/>
    <col min="7174" max="7174" width="9.140625" style="807" customWidth="1"/>
    <col min="7175" max="7175" width="9.5703125" style="807" customWidth="1"/>
    <col min="7176" max="7176" width="8.140625" style="807" customWidth="1"/>
    <col min="7177" max="7177" width="6.85546875" style="807" customWidth="1"/>
    <col min="7178" max="7178" width="9.28515625" style="807" customWidth="1"/>
    <col min="7179" max="7179" width="10.5703125" style="807" customWidth="1"/>
    <col min="7180" max="7180" width="8.7109375" style="807" customWidth="1"/>
    <col min="7181" max="7181" width="7.42578125" style="807" customWidth="1"/>
    <col min="7182" max="7182" width="8.5703125" style="807" customWidth="1"/>
    <col min="7183" max="7183" width="8.7109375" style="807" customWidth="1"/>
    <col min="7184" max="7184" width="8.5703125" style="807" customWidth="1"/>
    <col min="7185" max="7185" width="7.85546875" style="807" customWidth="1"/>
    <col min="7186" max="7186" width="8.5703125" style="807" customWidth="1"/>
    <col min="7187" max="7188" width="10.5703125" style="807" customWidth="1"/>
    <col min="7189" max="7189" width="11.140625" style="807" customWidth="1"/>
    <col min="7190" max="7190" width="10.7109375" style="807" bestFit="1" customWidth="1"/>
    <col min="7191" max="7425" width="9.140625" style="807"/>
    <col min="7426" max="7426" width="11.28515625" style="807" customWidth="1"/>
    <col min="7427" max="7427" width="9.7109375" style="807" customWidth="1"/>
    <col min="7428" max="7428" width="8.140625" style="807" customWidth="1"/>
    <col min="7429" max="7429" width="7.42578125" style="807" customWidth="1"/>
    <col min="7430" max="7430" width="9.140625" style="807" customWidth="1"/>
    <col min="7431" max="7431" width="9.5703125" style="807" customWidth="1"/>
    <col min="7432" max="7432" width="8.140625" style="807" customWidth="1"/>
    <col min="7433" max="7433" width="6.85546875" style="807" customWidth="1"/>
    <col min="7434" max="7434" width="9.28515625" style="807" customWidth="1"/>
    <col min="7435" max="7435" width="10.5703125" style="807" customWidth="1"/>
    <col min="7436" max="7436" width="8.7109375" style="807" customWidth="1"/>
    <col min="7437" max="7437" width="7.42578125" style="807" customWidth="1"/>
    <col min="7438" max="7438" width="8.5703125" style="807" customWidth="1"/>
    <col min="7439" max="7439" width="8.7109375" style="807" customWidth="1"/>
    <col min="7440" max="7440" width="8.5703125" style="807" customWidth="1"/>
    <col min="7441" max="7441" width="7.85546875" style="807" customWidth="1"/>
    <col min="7442" max="7442" width="8.5703125" style="807" customWidth="1"/>
    <col min="7443" max="7444" width="10.5703125" style="807" customWidth="1"/>
    <col min="7445" max="7445" width="11.140625" style="807" customWidth="1"/>
    <col min="7446" max="7446" width="10.7109375" style="807" bestFit="1" customWidth="1"/>
    <col min="7447" max="7681" width="9.140625" style="807"/>
    <col min="7682" max="7682" width="11.28515625" style="807" customWidth="1"/>
    <col min="7683" max="7683" width="9.7109375" style="807" customWidth="1"/>
    <col min="7684" max="7684" width="8.140625" style="807" customWidth="1"/>
    <col min="7685" max="7685" width="7.42578125" style="807" customWidth="1"/>
    <col min="7686" max="7686" width="9.140625" style="807" customWidth="1"/>
    <col min="7687" max="7687" width="9.5703125" style="807" customWidth="1"/>
    <col min="7688" max="7688" width="8.140625" style="807" customWidth="1"/>
    <col min="7689" max="7689" width="6.85546875" style="807" customWidth="1"/>
    <col min="7690" max="7690" width="9.28515625" style="807" customWidth="1"/>
    <col min="7691" max="7691" width="10.5703125" style="807" customWidth="1"/>
    <col min="7692" max="7692" width="8.7109375" style="807" customWidth="1"/>
    <col min="7693" max="7693" width="7.42578125" style="807" customWidth="1"/>
    <col min="7694" max="7694" width="8.5703125" style="807" customWidth="1"/>
    <col min="7695" max="7695" width="8.7109375" style="807" customWidth="1"/>
    <col min="7696" max="7696" width="8.5703125" style="807" customWidth="1"/>
    <col min="7697" max="7697" width="7.85546875" style="807" customWidth="1"/>
    <col min="7698" max="7698" width="8.5703125" style="807" customWidth="1"/>
    <col min="7699" max="7700" width="10.5703125" style="807" customWidth="1"/>
    <col min="7701" max="7701" width="11.140625" style="807" customWidth="1"/>
    <col min="7702" max="7702" width="10.7109375" style="807" bestFit="1" customWidth="1"/>
    <col min="7703" max="7937" width="9.140625" style="807"/>
    <col min="7938" max="7938" width="11.28515625" style="807" customWidth="1"/>
    <col min="7939" max="7939" width="9.7109375" style="807" customWidth="1"/>
    <col min="7940" max="7940" width="8.140625" style="807" customWidth="1"/>
    <col min="7941" max="7941" width="7.42578125" style="807" customWidth="1"/>
    <col min="7942" max="7942" width="9.140625" style="807" customWidth="1"/>
    <col min="7943" max="7943" width="9.5703125" style="807" customWidth="1"/>
    <col min="7944" max="7944" width="8.140625" style="807" customWidth="1"/>
    <col min="7945" max="7945" width="6.85546875" style="807" customWidth="1"/>
    <col min="7946" max="7946" width="9.28515625" style="807" customWidth="1"/>
    <col min="7947" max="7947" width="10.5703125" style="807" customWidth="1"/>
    <col min="7948" max="7948" width="8.7109375" style="807" customWidth="1"/>
    <col min="7949" max="7949" width="7.42578125" style="807" customWidth="1"/>
    <col min="7950" max="7950" width="8.5703125" style="807" customWidth="1"/>
    <col min="7951" max="7951" width="8.7109375" style="807" customWidth="1"/>
    <col min="7952" max="7952" width="8.5703125" style="807" customWidth="1"/>
    <col min="7953" max="7953" width="7.85546875" style="807" customWidth="1"/>
    <col min="7954" max="7954" width="8.5703125" style="807" customWidth="1"/>
    <col min="7955" max="7956" width="10.5703125" style="807" customWidth="1"/>
    <col min="7957" max="7957" width="11.140625" style="807" customWidth="1"/>
    <col min="7958" max="7958" width="10.7109375" style="807" bestFit="1" customWidth="1"/>
    <col min="7959" max="8193" width="9.140625" style="807"/>
    <col min="8194" max="8194" width="11.28515625" style="807" customWidth="1"/>
    <col min="8195" max="8195" width="9.7109375" style="807" customWidth="1"/>
    <col min="8196" max="8196" width="8.140625" style="807" customWidth="1"/>
    <col min="8197" max="8197" width="7.42578125" style="807" customWidth="1"/>
    <col min="8198" max="8198" width="9.140625" style="807" customWidth="1"/>
    <col min="8199" max="8199" width="9.5703125" style="807" customWidth="1"/>
    <col min="8200" max="8200" width="8.140625" style="807" customWidth="1"/>
    <col min="8201" max="8201" width="6.85546875" style="807" customWidth="1"/>
    <col min="8202" max="8202" width="9.28515625" style="807" customWidth="1"/>
    <col min="8203" max="8203" width="10.5703125" style="807" customWidth="1"/>
    <col min="8204" max="8204" width="8.7109375" style="807" customWidth="1"/>
    <col min="8205" max="8205" width="7.42578125" style="807" customWidth="1"/>
    <col min="8206" max="8206" width="8.5703125" style="807" customWidth="1"/>
    <col min="8207" max="8207" width="8.7109375" style="807" customWidth="1"/>
    <col min="8208" max="8208" width="8.5703125" style="807" customWidth="1"/>
    <col min="8209" max="8209" width="7.85546875" style="807" customWidth="1"/>
    <col min="8210" max="8210" width="8.5703125" style="807" customWidth="1"/>
    <col min="8211" max="8212" width="10.5703125" style="807" customWidth="1"/>
    <col min="8213" max="8213" width="11.140625" style="807" customWidth="1"/>
    <col min="8214" max="8214" width="10.7109375" style="807" bestFit="1" customWidth="1"/>
    <col min="8215" max="8449" width="9.140625" style="807"/>
    <col min="8450" max="8450" width="11.28515625" style="807" customWidth="1"/>
    <col min="8451" max="8451" width="9.7109375" style="807" customWidth="1"/>
    <col min="8452" max="8452" width="8.140625" style="807" customWidth="1"/>
    <col min="8453" max="8453" width="7.42578125" style="807" customWidth="1"/>
    <col min="8454" max="8454" width="9.140625" style="807" customWidth="1"/>
    <col min="8455" max="8455" width="9.5703125" style="807" customWidth="1"/>
    <col min="8456" max="8456" width="8.140625" style="807" customWidth="1"/>
    <col min="8457" max="8457" width="6.85546875" style="807" customWidth="1"/>
    <col min="8458" max="8458" width="9.28515625" style="807" customWidth="1"/>
    <col min="8459" max="8459" width="10.5703125" style="807" customWidth="1"/>
    <col min="8460" max="8460" width="8.7109375" style="807" customWidth="1"/>
    <col min="8461" max="8461" width="7.42578125" style="807" customWidth="1"/>
    <col min="8462" max="8462" width="8.5703125" style="807" customWidth="1"/>
    <col min="8463" max="8463" width="8.7109375" style="807" customWidth="1"/>
    <col min="8464" max="8464" width="8.5703125" style="807" customWidth="1"/>
    <col min="8465" max="8465" width="7.85546875" style="807" customWidth="1"/>
    <col min="8466" max="8466" width="8.5703125" style="807" customWidth="1"/>
    <col min="8467" max="8468" width="10.5703125" style="807" customWidth="1"/>
    <col min="8469" max="8469" width="11.140625" style="807" customWidth="1"/>
    <col min="8470" max="8470" width="10.7109375" style="807" bestFit="1" customWidth="1"/>
    <col min="8471" max="8705" width="9.140625" style="807"/>
    <col min="8706" max="8706" width="11.28515625" style="807" customWidth="1"/>
    <col min="8707" max="8707" width="9.7109375" style="807" customWidth="1"/>
    <col min="8708" max="8708" width="8.140625" style="807" customWidth="1"/>
    <col min="8709" max="8709" width="7.42578125" style="807" customWidth="1"/>
    <col min="8710" max="8710" width="9.140625" style="807" customWidth="1"/>
    <col min="8711" max="8711" width="9.5703125" style="807" customWidth="1"/>
    <col min="8712" max="8712" width="8.140625" style="807" customWidth="1"/>
    <col min="8713" max="8713" width="6.85546875" style="807" customWidth="1"/>
    <col min="8714" max="8714" width="9.28515625" style="807" customWidth="1"/>
    <col min="8715" max="8715" width="10.5703125" style="807" customWidth="1"/>
    <col min="8716" max="8716" width="8.7109375" style="807" customWidth="1"/>
    <col min="8717" max="8717" width="7.42578125" style="807" customWidth="1"/>
    <col min="8718" max="8718" width="8.5703125" style="807" customWidth="1"/>
    <col min="8719" max="8719" width="8.7109375" style="807" customWidth="1"/>
    <col min="8720" max="8720" width="8.5703125" style="807" customWidth="1"/>
    <col min="8721" max="8721" width="7.85546875" style="807" customWidth="1"/>
    <col min="8722" max="8722" width="8.5703125" style="807" customWidth="1"/>
    <col min="8723" max="8724" width="10.5703125" style="807" customWidth="1"/>
    <col min="8725" max="8725" width="11.140625" style="807" customWidth="1"/>
    <col min="8726" max="8726" width="10.7109375" style="807" bestFit="1" customWidth="1"/>
    <col min="8727" max="8961" width="9.140625" style="807"/>
    <col min="8962" max="8962" width="11.28515625" style="807" customWidth="1"/>
    <col min="8963" max="8963" width="9.7109375" style="807" customWidth="1"/>
    <col min="8964" max="8964" width="8.140625" style="807" customWidth="1"/>
    <col min="8965" max="8965" width="7.42578125" style="807" customWidth="1"/>
    <col min="8966" max="8966" width="9.140625" style="807" customWidth="1"/>
    <col min="8967" max="8967" width="9.5703125" style="807" customWidth="1"/>
    <col min="8968" max="8968" width="8.140625" style="807" customWidth="1"/>
    <col min="8969" max="8969" width="6.85546875" style="807" customWidth="1"/>
    <col min="8970" max="8970" width="9.28515625" style="807" customWidth="1"/>
    <col min="8971" max="8971" width="10.5703125" style="807" customWidth="1"/>
    <col min="8972" max="8972" width="8.7109375" style="807" customWidth="1"/>
    <col min="8973" max="8973" width="7.42578125" style="807" customWidth="1"/>
    <col min="8974" max="8974" width="8.5703125" style="807" customWidth="1"/>
    <col min="8975" max="8975" width="8.7109375" style="807" customWidth="1"/>
    <col min="8976" max="8976" width="8.5703125" style="807" customWidth="1"/>
    <col min="8977" max="8977" width="7.85546875" style="807" customWidth="1"/>
    <col min="8978" max="8978" width="8.5703125" style="807" customWidth="1"/>
    <col min="8979" max="8980" width="10.5703125" style="807" customWidth="1"/>
    <col min="8981" max="8981" width="11.140625" style="807" customWidth="1"/>
    <col min="8982" max="8982" width="10.7109375" style="807" bestFit="1" customWidth="1"/>
    <col min="8983" max="9217" width="9.140625" style="807"/>
    <col min="9218" max="9218" width="11.28515625" style="807" customWidth="1"/>
    <col min="9219" max="9219" width="9.7109375" style="807" customWidth="1"/>
    <col min="9220" max="9220" width="8.140625" style="807" customWidth="1"/>
    <col min="9221" max="9221" width="7.42578125" style="807" customWidth="1"/>
    <col min="9222" max="9222" width="9.140625" style="807" customWidth="1"/>
    <col min="9223" max="9223" width="9.5703125" style="807" customWidth="1"/>
    <col min="9224" max="9224" width="8.140625" style="807" customWidth="1"/>
    <col min="9225" max="9225" width="6.85546875" style="807" customWidth="1"/>
    <col min="9226" max="9226" width="9.28515625" style="807" customWidth="1"/>
    <col min="9227" max="9227" width="10.5703125" style="807" customWidth="1"/>
    <col min="9228" max="9228" width="8.7109375" style="807" customWidth="1"/>
    <col min="9229" max="9229" width="7.42578125" style="807" customWidth="1"/>
    <col min="9230" max="9230" width="8.5703125" style="807" customWidth="1"/>
    <col min="9231" max="9231" width="8.7109375" style="807" customWidth="1"/>
    <col min="9232" max="9232" width="8.5703125" style="807" customWidth="1"/>
    <col min="9233" max="9233" width="7.85546875" style="807" customWidth="1"/>
    <col min="9234" max="9234" width="8.5703125" style="807" customWidth="1"/>
    <col min="9235" max="9236" width="10.5703125" style="807" customWidth="1"/>
    <col min="9237" max="9237" width="11.140625" style="807" customWidth="1"/>
    <col min="9238" max="9238" width="10.7109375" style="807" bestFit="1" customWidth="1"/>
    <col min="9239" max="9473" width="9.140625" style="807"/>
    <col min="9474" max="9474" width="11.28515625" style="807" customWidth="1"/>
    <col min="9475" max="9475" width="9.7109375" style="807" customWidth="1"/>
    <col min="9476" max="9476" width="8.140625" style="807" customWidth="1"/>
    <col min="9477" max="9477" width="7.42578125" style="807" customWidth="1"/>
    <col min="9478" max="9478" width="9.140625" style="807" customWidth="1"/>
    <col min="9479" max="9479" width="9.5703125" style="807" customWidth="1"/>
    <col min="9480" max="9480" width="8.140625" style="807" customWidth="1"/>
    <col min="9481" max="9481" width="6.85546875" style="807" customWidth="1"/>
    <col min="9482" max="9482" width="9.28515625" style="807" customWidth="1"/>
    <col min="9483" max="9483" width="10.5703125" style="807" customWidth="1"/>
    <col min="9484" max="9484" width="8.7109375" style="807" customWidth="1"/>
    <col min="9485" max="9485" width="7.42578125" style="807" customWidth="1"/>
    <col min="9486" max="9486" width="8.5703125" style="807" customWidth="1"/>
    <col min="9487" max="9487" width="8.7109375" style="807" customWidth="1"/>
    <col min="9488" max="9488" width="8.5703125" style="807" customWidth="1"/>
    <col min="9489" max="9489" width="7.85546875" style="807" customWidth="1"/>
    <col min="9490" max="9490" width="8.5703125" style="807" customWidth="1"/>
    <col min="9491" max="9492" width="10.5703125" style="807" customWidth="1"/>
    <col min="9493" max="9493" width="11.140625" style="807" customWidth="1"/>
    <col min="9494" max="9494" width="10.7109375" style="807" bestFit="1" customWidth="1"/>
    <col min="9495" max="9729" width="9.140625" style="807"/>
    <col min="9730" max="9730" width="11.28515625" style="807" customWidth="1"/>
    <col min="9731" max="9731" width="9.7109375" style="807" customWidth="1"/>
    <col min="9732" max="9732" width="8.140625" style="807" customWidth="1"/>
    <col min="9733" max="9733" width="7.42578125" style="807" customWidth="1"/>
    <col min="9734" max="9734" width="9.140625" style="807" customWidth="1"/>
    <col min="9735" max="9735" width="9.5703125" style="807" customWidth="1"/>
    <col min="9736" max="9736" width="8.140625" style="807" customWidth="1"/>
    <col min="9737" max="9737" width="6.85546875" style="807" customWidth="1"/>
    <col min="9738" max="9738" width="9.28515625" style="807" customWidth="1"/>
    <col min="9739" max="9739" width="10.5703125" style="807" customWidth="1"/>
    <col min="9740" max="9740" width="8.7109375" style="807" customWidth="1"/>
    <col min="9741" max="9741" width="7.42578125" style="807" customWidth="1"/>
    <col min="9742" max="9742" width="8.5703125" style="807" customWidth="1"/>
    <col min="9743" max="9743" width="8.7109375" style="807" customWidth="1"/>
    <col min="9744" max="9744" width="8.5703125" style="807" customWidth="1"/>
    <col min="9745" max="9745" width="7.85546875" style="807" customWidth="1"/>
    <col min="9746" max="9746" width="8.5703125" style="807" customWidth="1"/>
    <col min="9747" max="9748" width="10.5703125" style="807" customWidth="1"/>
    <col min="9749" max="9749" width="11.140625" style="807" customWidth="1"/>
    <col min="9750" max="9750" width="10.7109375" style="807" bestFit="1" customWidth="1"/>
    <col min="9751" max="9985" width="9.140625" style="807"/>
    <col min="9986" max="9986" width="11.28515625" style="807" customWidth="1"/>
    <col min="9987" max="9987" width="9.7109375" style="807" customWidth="1"/>
    <col min="9988" max="9988" width="8.140625" style="807" customWidth="1"/>
    <col min="9989" max="9989" width="7.42578125" style="807" customWidth="1"/>
    <col min="9990" max="9990" width="9.140625" style="807" customWidth="1"/>
    <col min="9991" max="9991" width="9.5703125" style="807" customWidth="1"/>
    <col min="9992" max="9992" width="8.140625" style="807" customWidth="1"/>
    <col min="9993" max="9993" width="6.85546875" style="807" customWidth="1"/>
    <col min="9994" max="9994" width="9.28515625" style="807" customWidth="1"/>
    <col min="9995" max="9995" width="10.5703125" style="807" customWidth="1"/>
    <col min="9996" max="9996" width="8.7109375" style="807" customWidth="1"/>
    <col min="9997" max="9997" width="7.42578125" style="807" customWidth="1"/>
    <col min="9998" max="9998" width="8.5703125" style="807" customWidth="1"/>
    <col min="9999" max="9999" width="8.7109375" style="807" customWidth="1"/>
    <col min="10000" max="10000" width="8.5703125" style="807" customWidth="1"/>
    <col min="10001" max="10001" width="7.85546875" style="807" customWidth="1"/>
    <col min="10002" max="10002" width="8.5703125" style="807" customWidth="1"/>
    <col min="10003" max="10004" width="10.5703125" style="807" customWidth="1"/>
    <col min="10005" max="10005" width="11.140625" style="807" customWidth="1"/>
    <col min="10006" max="10006" width="10.7109375" style="807" bestFit="1" customWidth="1"/>
    <col min="10007" max="10241" width="9.140625" style="807"/>
    <col min="10242" max="10242" width="11.28515625" style="807" customWidth="1"/>
    <col min="10243" max="10243" width="9.7109375" style="807" customWidth="1"/>
    <col min="10244" max="10244" width="8.140625" style="807" customWidth="1"/>
    <col min="10245" max="10245" width="7.42578125" style="807" customWidth="1"/>
    <col min="10246" max="10246" width="9.140625" style="807" customWidth="1"/>
    <col min="10247" max="10247" width="9.5703125" style="807" customWidth="1"/>
    <col min="10248" max="10248" width="8.140625" style="807" customWidth="1"/>
    <col min="10249" max="10249" width="6.85546875" style="807" customWidth="1"/>
    <col min="10250" max="10250" width="9.28515625" style="807" customWidth="1"/>
    <col min="10251" max="10251" width="10.5703125" style="807" customWidth="1"/>
    <col min="10252" max="10252" width="8.7109375" style="807" customWidth="1"/>
    <col min="10253" max="10253" width="7.42578125" style="807" customWidth="1"/>
    <col min="10254" max="10254" width="8.5703125" style="807" customWidth="1"/>
    <col min="10255" max="10255" width="8.7109375" style="807" customWidth="1"/>
    <col min="10256" max="10256" width="8.5703125" style="807" customWidth="1"/>
    <col min="10257" max="10257" width="7.85546875" style="807" customWidth="1"/>
    <col min="10258" max="10258" width="8.5703125" style="807" customWidth="1"/>
    <col min="10259" max="10260" width="10.5703125" style="807" customWidth="1"/>
    <col min="10261" max="10261" width="11.140625" style="807" customWidth="1"/>
    <col min="10262" max="10262" width="10.7109375" style="807" bestFit="1" customWidth="1"/>
    <col min="10263" max="10497" width="9.140625" style="807"/>
    <col min="10498" max="10498" width="11.28515625" style="807" customWidth="1"/>
    <col min="10499" max="10499" width="9.7109375" style="807" customWidth="1"/>
    <col min="10500" max="10500" width="8.140625" style="807" customWidth="1"/>
    <col min="10501" max="10501" width="7.42578125" style="807" customWidth="1"/>
    <col min="10502" max="10502" width="9.140625" style="807" customWidth="1"/>
    <col min="10503" max="10503" width="9.5703125" style="807" customWidth="1"/>
    <col min="10504" max="10504" width="8.140625" style="807" customWidth="1"/>
    <col min="10505" max="10505" width="6.85546875" style="807" customWidth="1"/>
    <col min="10506" max="10506" width="9.28515625" style="807" customWidth="1"/>
    <col min="10507" max="10507" width="10.5703125" style="807" customWidth="1"/>
    <col min="10508" max="10508" width="8.7109375" style="807" customWidth="1"/>
    <col min="10509" max="10509" width="7.42578125" style="807" customWidth="1"/>
    <col min="10510" max="10510" width="8.5703125" style="807" customWidth="1"/>
    <col min="10511" max="10511" width="8.7109375" style="807" customWidth="1"/>
    <col min="10512" max="10512" width="8.5703125" style="807" customWidth="1"/>
    <col min="10513" max="10513" width="7.85546875" style="807" customWidth="1"/>
    <col min="10514" max="10514" width="8.5703125" style="807" customWidth="1"/>
    <col min="10515" max="10516" width="10.5703125" style="807" customWidth="1"/>
    <col min="10517" max="10517" width="11.140625" style="807" customWidth="1"/>
    <col min="10518" max="10518" width="10.7109375" style="807" bestFit="1" customWidth="1"/>
    <col min="10519" max="10753" width="9.140625" style="807"/>
    <col min="10754" max="10754" width="11.28515625" style="807" customWidth="1"/>
    <col min="10755" max="10755" width="9.7109375" style="807" customWidth="1"/>
    <col min="10756" max="10756" width="8.140625" style="807" customWidth="1"/>
    <col min="10757" max="10757" width="7.42578125" style="807" customWidth="1"/>
    <col min="10758" max="10758" width="9.140625" style="807" customWidth="1"/>
    <col min="10759" max="10759" width="9.5703125" style="807" customWidth="1"/>
    <col min="10760" max="10760" width="8.140625" style="807" customWidth="1"/>
    <col min="10761" max="10761" width="6.85546875" style="807" customWidth="1"/>
    <col min="10762" max="10762" width="9.28515625" style="807" customWidth="1"/>
    <col min="10763" max="10763" width="10.5703125" style="807" customWidth="1"/>
    <col min="10764" max="10764" width="8.7109375" style="807" customWidth="1"/>
    <col min="10765" max="10765" width="7.42578125" style="807" customWidth="1"/>
    <col min="10766" max="10766" width="8.5703125" style="807" customWidth="1"/>
    <col min="10767" max="10767" width="8.7109375" style="807" customWidth="1"/>
    <col min="10768" max="10768" width="8.5703125" style="807" customWidth="1"/>
    <col min="10769" max="10769" width="7.85546875" style="807" customWidth="1"/>
    <col min="10770" max="10770" width="8.5703125" style="807" customWidth="1"/>
    <col min="10771" max="10772" width="10.5703125" style="807" customWidth="1"/>
    <col min="10773" max="10773" width="11.140625" style="807" customWidth="1"/>
    <col min="10774" max="10774" width="10.7109375" style="807" bestFit="1" customWidth="1"/>
    <col min="10775" max="11009" width="9.140625" style="807"/>
    <col min="11010" max="11010" width="11.28515625" style="807" customWidth="1"/>
    <col min="11011" max="11011" width="9.7109375" style="807" customWidth="1"/>
    <col min="11012" max="11012" width="8.140625" style="807" customWidth="1"/>
    <col min="11013" max="11013" width="7.42578125" style="807" customWidth="1"/>
    <col min="11014" max="11014" width="9.140625" style="807" customWidth="1"/>
    <col min="11015" max="11015" width="9.5703125" style="807" customWidth="1"/>
    <col min="11016" max="11016" width="8.140625" style="807" customWidth="1"/>
    <col min="11017" max="11017" width="6.85546875" style="807" customWidth="1"/>
    <col min="11018" max="11018" width="9.28515625" style="807" customWidth="1"/>
    <col min="11019" max="11019" width="10.5703125" style="807" customWidth="1"/>
    <col min="11020" max="11020" width="8.7109375" style="807" customWidth="1"/>
    <col min="11021" max="11021" width="7.42578125" style="807" customWidth="1"/>
    <col min="11022" max="11022" width="8.5703125" style="807" customWidth="1"/>
    <col min="11023" max="11023" width="8.7109375" style="807" customWidth="1"/>
    <col min="11024" max="11024" width="8.5703125" style="807" customWidth="1"/>
    <col min="11025" max="11025" width="7.85546875" style="807" customWidth="1"/>
    <col min="11026" max="11026" width="8.5703125" style="807" customWidth="1"/>
    <col min="11027" max="11028" width="10.5703125" style="807" customWidth="1"/>
    <col min="11029" max="11029" width="11.140625" style="807" customWidth="1"/>
    <col min="11030" max="11030" width="10.7109375" style="807" bestFit="1" customWidth="1"/>
    <col min="11031" max="11265" width="9.140625" style="807"/>
    <col min="11266" max="11266" width="11.28515625" style="807" customWidth="1"/>
    <col min="11267" max="11267" width="9.7109375" style="807" customWidth="1"/>
    <col min="11268" max="11268" width="8.140625" style="807" customWidth="1"/>
    <col min="11269" max="11269" width="7.42578125" style="807" customWidth="1"/>
    <col min="11270" max="11270" width="9.140625" style="807" customWidth="1"/>
    <col min="11271" max="11271" width="9.5703125" style="807" customWidth="1"/>
    <col min="11272" max="11272" width="8.140625" style="807" customWidth="1"/>
    <col min="11273" max="11273" width="6.85546875" style="807" customWidth="1"/>
    <col min="11274" max="11274" width="9.28515625" style="807" customWidth="1"/>
    <col min="11275" max="11275" width="10.5703125" style="807" customWidth="1"/>
    <col min="11276" max="11276" width="8.7109375" style="807" customWidth="1"/>
    <col min="11277" max="11277" width="7.42578125" style="807" customWidth="1"/>
    <col min="11278" max="11278" width="8.5703125" style="807" customWidth="1"/>
    <col min="11279" max="11279" width="8.7109375" style="807" customWidth="1"/>
    <col min="11280" max="11280" width="8.5703125" style="807" customWidth="1"/>
    <col min="11281" max="11281" width="7.85546875" style="807" customWidth="1"/>
    <col min="11282" max="11282" width="8.5703125" style="807" customWidth="1"/>
    <col min="11283" max="11284" width="10.5703125" style="807" customWidth="1"/>
    <col min="11285" max="11285" width="11.140625" style="807" customWidth="1"/>
    <col min="11286" max="11286" width="10.7109375" style="807" bestFit="1" customWidth="1"/>
    <col min="11287" max="11521" width="9.140625" style="807"/>
    <col min="11522" max="11522" width="11.28515625" style="807" customWidth="1"/>
    <col min="11523" max="11523" width="9.7109375" style="807" customWidth="1"/>
    <col min="11524" max="11524" width="8.140625" style="807" customWidth="1"/>
    <col min="11525" max="11525" width="7.42578125" style="807" customWidth="1"/>
    <col min="11526" max="11526" width="9.140625" style="807" customWidth="1"/>
    <col min="11527" max="11527" width="9.5703125" style="807" customWidth="1"/>
    <col min="11528" max="11528" width="8.140625" style="807" customWidth="1"/>
    <col min="11529" max="11529" width="6.85546875" style="807" customWidth="1"/>
    <col min="11530" max="11530" width="9.28515625" style="807" customWidth="1"/>
    <col min="11531" max="11531" width="10.5703125" style="807" customWidth="1"/>
    <col min="11532" max="11532" width="8.7109375" style="807" customWidth="1"/>
    <col min="11533" max="11533" width="7.42578125" style="807" customWidth="1"/>
    <col min="11534" max="11534" width="8.5703125" style="807" customWidth="1"/>
    <col min="11535" max="11535" width="8.7109375" style="807" customWidth="1"/>
    <col min="11536" max="11536" width="8.5703125" style="807" customWidth="1"/>
    <col min="11537" max="11537" width="7.85546875" style="807" customWidth="1"/>
    <col min="11538" max="11538" width="8.5703125" style="807" customWidth="1"/>
    <col min="11539" max="11540" width="10.5703125" style="807" customWidth="1"/>
    <col min="11541" max="11541" width="11.140625" style="807" customWidth="1"/>
    <col min="11542" max="11542" width="10.7109375" style="807" bestFit="1" customWidth="1"/>
    <col min="11543" max="11777" width="9.140625" style="807"/>
    <col min="11778" max="11778" width="11.28515625" style="807" customWidth="1"/>
    <col min="11779" max="11779" width="9.7109375" style="807" customWidth="1"/>
    <col min="11780" max="11780" width="8.140625" style="807" customWidth="1"/>
    <col min="11781" max="11781" width="7.42578125" style="807" customWidth="1"/>
    <col min="11782" max="11782" width="9.140625" style="807" customWidth="1"/>
    <col min="11783" max="11783" width="9.5703125" style="807" customWidth="1"/>
    <col min="11784" max="11784" width="8.140625" style="807" customWidth="1"/>
    <col min="11785" max="11785" width="6.85546875" style="807" customWidth="1"/>
    <col min="11786" max="11786" width="9.28515625" style="807" customWidth="1"/>
    <col min="11787" max="11787" width="10.5703125" style="807" customWidth="1"/>
    <col min="11788" max="11788" width="8.7109375" style="807" customWidth="1"/>
    <col min="11789" max="11789" width="7.42578125" style="807" customWidth="1"/>
    <col min="11790" max="11790" width="8.5703125" style="807" customWidth="1"/>
    <col min="11791" max="11791" width="8.7109375" style="807" customWidth="1"/>
    <col min="11792" max="11792" width="8.5703125" style="807" customWidth="1"/>
    <col min="11793" max="11793" width="7.85546875" style="807" customWidth="1"/>
    <col min="11794" max="11794" width="8.5703125" style="807" customWidth="1"/>
    <col min="11795" max="11796" width="10.5703125" style="807" customWidth="1"/>
    <col min="11797" max="11797" width="11.140625" style="807" customWidth="1"/>
    <col min="11798" max="11798" width="10.7109375" style="807" bestFit="1" customWidth="1"/>
    <col min="11799" max="12033" width="9.140625" style="807"/>
    <col min="12034" max="12034" width="11.28515625" style="807" customWidth="1"/>
    <col min="12035" max="12035" width="9.7109375" style="807" customWidth="1"/>
    <col min="12036" max="12036" width="8.140625" style="807" customWidth="1"/>
    <col min="12037" max="12037" width="7.42578125" style="807" customWidth="1"/>
    <col min="12038" max="12038" width="9.140625" style="807" customWidth="1"/>
    <col min="12039" max="12039" width="9.5703125" style="807" customWidth="1"/>
    <col min="12040" max="12040" width="8.140625" style="807" customWidth="1"/>
    <col min="12041" max="12041" width="6.85546875" style="807" customWidth="1"/>
    <col min="12042" max="12042" width="9.28515625" style="807" customWidth="1"/>
    <col min="12043" max="12043" width="10.5703125" style="807" customWidth="1"/>
    <col min="12044" max="12044" width="8.7109375" style="807" customWidth="1"/>
    <col min="12045" max="12045" width="7.42578125" style="807" customWidth="1"/>
    <col min="12046" max="12046" width="8.5703125" style="807" customWidth="1"/>
    <col min="12047" max="12047" width="8.7109375" style="807" customWidth="1"/>
    <col min="12048" max="12048" width="8.5703125" style="807" customWidth="1"/>
    <col min="12049" max="12049" width="7.85546875" style="807" customWidth="1"/>
    <col min="12050" max="12050" width="8.5703125" style="807" customWidth="1"/>
    <col min="12051" max="12052" width="10.5703125" style="807" customWidth="1"/>
    <col min="12053" max="12053" width="11.140625" style="807" customWidth="1"/>
    <col min="12054" max="12054" width="10.7109375" style="807" bestFit="1" customWidth="1"/>
    <col min="12055" max="12289" width="9.140625" style="807"/>
    <col min="12290" max="12290" width="11.28515625" style="807" customWidth="1"/>
    <col min="12291" max="12291" width="9.7109375" style="807" customWidth="1"/>
    <col min="12292" max="12292" width="8.140625" style="807" customWidth="1"/>
    <col min="12293" max="12293" width="7.42578125" style="807" customWidth="1"/>
    <col min="12294" max="12294" width="9.140625" style="807" customWidth="1"/>
    <col min="12295" max="12295" width="9.5703125" style="807" customWidth="1"/>
    <col min="12296" max="12296" width="8.140625" style="807" customWidth="1"/>
    <col min="12297" max="12297" width="6.85546875" style="807" customWidth="1"/>
    <col min="12298" max="12298" width="9.28515625" style="807" customWidth="1"/>
    <col min="12299" max="12299" width="10.5703125" style="807" customWidth="1"/>
    <col min="12300" max="12300" width="8.7109375" style="807" customWidth="1"/>
    <col min="12301" max="12301" width="7.42578125" style="807" customWidth="1"/>
    <col min="12302" max="12302" width="8.5703125" style="807" customWidth="1"/>
    <col min="12303" max="12303" width="8.7109375" style="807" customWidth="1"/>
    <col min="12304" max="12304" width="8.5703125" style="807" customWidth="1"/>
    <col min="12305" max="12305" width="7.85546875" style="807" customWidth="1"/>
    <col min="12306" max="12306" width="8.5703125" style="807" customWidth="1"/>
    <col min="12307" max="12308" width="10.5703125" style="807" customWidth="1"/>
    <col min="12309" max="12309" width="11.140625" style="807" customWidth="1"/>
    <col min="12310" max="12310" width="10.7109375" style="807" bestFit="1" customWidth="1"/>
    <col min="12311" max="12545" width="9.140625" style="807"/>
    <col min="12546" max="12546" width="11.28515625" style="807" customWidth="1"/>
    <col min="12547" max="12547" width="9.7109375" style="807" customWidth="1"/>
    <col min="12548" max="12548" width="8.140625" style="807" customWidth="1"/>
    <col min="12549" max="12549" width="7.42578125" style="807" customWidth="1"/>
    <col min="12550" max="12550" width="9.140625" style="807" customWidth="1"/>
    <col min="12551" max="12551" width="9.5703125" style="807" customWidth="1"/>
    <col min="12552" max="12552" width="8.140625" style="807" customWidth="1"/>
    <col min="12553" max="12553" width="6.85546875" style="807" customWidth="1"/>
    <col min="12554" max="12554" width="9.28515625" style="807" customWidth="1"/>
    <col min="12555" max="12555" width="10.5703125" style="807" customWidth="1"/>
    <col min="12556" max="12556" width="8.7109375" style="807" customWidth="1"/>
    <col min="12557" max="12557" width="7.42578125" style="807" customWidth="1"/>
    <col min="12558" max="12558" width="8.5703125" style="807" customWidth="1"/>
    <col min="12559" max="12559" width="8.7109375" style="807" customWidth="1"/>
    <col min="12560" max="12560" width="8.5703125" style="807" customWidth="1"/>
    <col min="12561" max="12561" width="7.85546875" style="807" customWidth="1"/>
    <col min="12562" max="12562" width="8.5703125" style="807" customWidth="1"/>
    <col min="12563" max="12564" width="10.5703125" style="807" customWidth="1"/>
    <col min="12565" max="12565" width="11.140625" style="807" customWidth="1"/>
    <col min="12566" max="12566" width="10.7109375" style="807" bestFit="1" customWidth="1"/>
    <col min="12567" max="12801" width="9.140625" style="807"/>
    <col min="12802" max="12802" width="11.28515625" style="807" customWidth="1"/>
    <col min="12803" max="12803" width="9.7109375" style="807" customWidth="1"/>
    <col min="12804" max="12804" width="8.140625" style="807" customWidth="1"/>
    <col min="12805" max="12805" width="7.42578125" style="807" customWidth="1"/>
    <col min="12806" max="12806" width="9.140625" style="807" customWidth="1"/>
    <col min="12807" max="12807" width="9.5703125" style="807" customWidth="1"/>
    <col min="12808" max="12808" width="8.140625" style="807" customWidth="1"/>
    <col min="12809" max="12809" width="6.85546875" style="807" customWidth="1"/>
    <col min="12810" max="12810" width="9.28515625" style="807" customWidth="1"/>
    <col min="12811" max="12811" width="10.5703125" style="807" customWidth="1"/>
    <col min="12812" max="12812" width="8.7109375" style="807" customWidth="1"/>
    <col min="12813" max="12813" width="7.42578125" style="807" customWidth="1"/>
    <col min="12814" max="12814" width="8.5703125" style="807" customWidth="1"/>
    <col min="12815" max="12815" width="8.7109375" style="807" customWidth="1"/>
    <col min="12816" max="12816" width="8.5703125" style="807" customWidth="1"/>
    <col min="12817" max="12817" width="7.85546875" style="807" customWidth="1"/>
    <col min="12818" max="12818" width="8.5703125" style="807" customWidth="1"/>
    <col min="12819" max="12820" width="10.5703125" style="807" customWidth="1"/>
    <col min="12821" max="12821" width="11.140625" style="807" customWidth="1"/>
    <col min="12822" max="12822" width="10.7109375" style="807" bestFit="1" customWidth="1"/>
    <col min="12823" max="13057" width="9.140625" style="807"/>
    <col min="13058" max="13058" width="11.28515625" style="807" customWidth="1"/>
    <col min="13059" max="13059" width="9.7109375" style="807" customWidth="1"/>
    <col min="13060" max="13060" width="8.140625" style="807" customWidth="1"/>
    <col min="13061" max="13061" width="7.42578125" style="807" customWidth="1"/>
    <col min="13062" max="13062" width="9.140625" style="807" customWidth="1"/>
    <col min="13063" max="13063" width="9.5703125" style="807" customWidth="1"/>
    <col min="13064" max="13064" width="8.140625" style="807" customWidth="1"/>
    <col min="13065" max="13065" width="6.85546875" style="807" customWidth="1"/>
    <col min="13066" max="13066" width="9.28515625" style="807" customWidth="1"/>
    <col min="13067" max="13067" width="10.5703125" style="807" customWidth="1"/>
    <col min="13068" max="13068" width="8.7109375" style="807" customWidth="1"/>
    <col min="13069" max="13069" width="7.42578125" style="807" customWidth="1"/>
    <col min="13070" max="13070" width="8.5703125" style="807" customWidth="1"/>
    <col min="13071" max="13071" width="8.7109375" style="807" customWidth="1"/>
    <col min="13072" max="13072" width="8.5703125" style="807" customWidth="1"/>
    <col min="13073" max="13073" width="7.85546875" style="807" customWidth="1"/>
    <col min="13074" max="13074" width="8.5703125" style="807" customWidth="1"/>
    <col min="13075" max="13076" width="10.5703125" style="807" customWidth="1"/>
    <col min="13077" max="13077" width="11.140625" style="807" customWidth="1"/>
    <col min="13078" max="13078" width="10.7109375" style="807" bestFit="1" customWidth="1"/>
    <col min="13079" max="13313" width="9.140625" style="807"/>
    <col min="13314" max="13314" width="11.28515625" style="807" customWidth="1"/>
    <col min="13315" max="13315" width="9.7109375" style="807" customWidth="1"/>
    <col min="13316" max="13316" width="8.140625" style="807" customWidth="1"/>
    <col min="13317" max="13317" width="7.42578125" style="807" customWidth="1"/>
    <col min="13318" max="13318" width="9.140625" style="807" customWidth="1"/>
    <col min="13319" max="13319" width="9.5703125" style="807" customWidth="1"/>
    <col min="13320" max="13320" width="8.140625" style="807" customWidth="1"/>
    <col min="13321" max="13321" width="6.85546875" style="807" customWidth="1"/>
    <col min="13322" max="13322" width="9.28515625" style="807" customWidth="1"/>
    <col min="13323" max="13323" width="10.5703125" style="807" customWidth="1"/>
    <col min="13324" max="13324" width="8.7109375" style="807" customWidth="1"/>
    <col min="13325" max="13325" width="7.42578125" style="807" customWidth="1"/>
    <col min="13326" max="13326" width="8.5703125" style="807" customWidth="1"/>
    <col min="13327" max="13327" width="8.7109375" style="807" customWidth="1"/>
    <col min="13328" max="13328" width="8.5703125" style="807" customWidth="1"/>
    <col min="13329" max="13329" width="7.85546875" style="807" customWidth="1"/>
    <col min="13330" max="13330" width="8.5703125" style="807" customWidth="1"/>
    <col min="13331" max="13332" width="10.5703125" style="807" customWidth="1"/>
    <col min="13333" max="13333" width="11.140625" style="807" customWidth="1"/>
    <col min="13334" max="13334" width="10.7109375" style="807" bestFit="1" customWidth="1"/>
    <col min="13335" max="13569" width="9.140625" style="807"/>
    <col min="13570" max="13570" width="11.28515625" style="807" customWidth="1"/>
    <col min="13571" max="13571" width="9.7109375" style="807" customWidth="1"/>
    <col min="13572" max="13572" width="8.140625" style="807" customWidth="1"/>
    <col min="13573" max="13573" width="7.42578125" style="807" customWidth="1"/>
    <col min="13574" max="13574" width="9.140625" style="807" customWidth="1"/>
    <col min="13575" max="13575" width="9.5703125" style="807" customWidth="1"/>
    <col min="13576" max="13576" width="8.140625" style="807" customWidth="1"/>
    <col min="13577" max="13577" width="6.85546875" style="807" customWidth="1"/>
    <col min="13578" max="13578" width="9.28515625" style="807" customWidth="1"/>
    <col min="13579" max="13579" width="10.5703125" style="807" customWidth="1"/>
    <col min="13580" max="13580" width="8.7109375" style="807" customWidth="1"/>
    <col min="13581" max="13581" width="7.42578125" style="807" customWidth="1"/>
    <col min="13582" max="13582" width="8.5703125" style="807" customWidth="1"/>
    <col min="13583" max="13583" width="8.7109375" style="807" customWidth="1"/>
    <col min="13584" max="13584" width="8.5703125" style="807" customWidth="1"/>
    <col min="13585" max="13585" width="7.85546875" style="807" customWidth="1"/>
    <col min="13586" max="13586" width="8.5703125" style="807" customWidth="1"/>
    <col min="13587" max="13588" width="10.5703125" style="807" customWidth="1"/>
    <col min="13589" max="13589" width="11.140625" style="807" customWidth="1"/>
    <col min="13590" max="13590" width="10.7109375" style="807" bestFit="1" customWidth="1"/>
    <col min="13591" max="13825" width="9.140625" style="807"/>
    <col min="13826" max="13826" width="11.28515625" style="807" customWidth="1"/>
    <col min="13827" max="13827" width="9.7109375" style="807" customWidth="1"/>
    <col min="13828" max="13828" width="8.140625" style="807" customWidth="1"/>
    <col min="13829" max="13829" width="7.42578125" style="807" customWidth="1"/>
    <col min="13830" max="13830" width="9.140625" style="807" customWidth="1"/>
    <col min="13831" max="13831" width="9.5703125" style="807" customWidth="1"/>
    <col min="13832" max="13832" width="8.140625" style="807" customWidth="1"/>
    <col min="13833" max="13833" width="6.85546875" style="807" customWidth="1"/>
    <col min="13834" max="13834" width="9.28515625" style="807" customWidth="1"/>
    <col min="13835" max="13835" width="10.5703125" style="807" customWidth="1"/>
    <col min="13836" max="13836" width="8.7109375" style="807" customWidth="1"/>
    <col min="13837" max="13837" width="7.42578125" style="807" customWidth="1"/>
    <col min="13838" max="13838" width="8.5703125" style="807" customWidth="1"/>
    <col min="13839" max="13839" width="8.7109375" style="807" customWidth="1"/>
    <col min="13840" max="13840" width="8.5703125" style="807" customWidth="1"/>
    <col min="13841" max="13841" width="7.85546875" style="807" customWidth="1"/>
    <col min="13842" max="13842" width="8.5703125" style="807" customWidth="1"/>
    <col min="13843" max="13844" width="10.5703125" style="807" customWidth="1"/>
    <col min="13845" max="13845" width="11.140625" style="807" customWidth="1"/>
    <col min="13846" max="13846" width="10.7109375" style="807" bestFit="1" customWidth="1"/>
    <col min="13847" max="14081" width="9.140625" style="807"/>
    <col min="14082" max="14082" width="11.28515625" style="807" customWidth="1"/>
    <col min="14083" max="14083" width="9.7109375" style="807" customWidth="1"/>
    <col min="14084" max="14084" width="8.140625" style="807" customWidth="1"/>
    <col min="14085" max="14085" width="7.42578125" style="807" customWidth="1"/>
    <col min="14086" max="14086" width="9.140625" style="807" customWidth="1"/>
    <col min="14087" max="14087" width="9.5703125" style="807" customWidth="1"/>
    <col min="14088" max="14088" width="8.140625" style="807" customWidth="1"/>
    <col min="14089" max="14089" width="6.85546875" style="807" customWidth="1"/>
    <col min="14090" max="14090" width="9.28515625" style="807" customWidth="1"/>
    <col min="14091" max="14091" width="10.5703125" style="807" customWidth="1"/>
    <col min="14092" max="14092" width="8.7109375" style="807" customWidth="1"/>
    <col min="14093" max="14093" width="7.42578125" style="807" customWidth="1"/>
    <col min="14094" max="14094" width="8.5703125" style="807" customWidth="1"/>
    <col min="14095" max="14095" width="8.7109375" style="807" customWidth="1"/>
    <col min="14096" max="14096" width="8.5703125" style="807" customWidth="1"/>
    <col min="14097" max="14097" width="7.85546875" style="807" customWidth="1"/>
    <col min="14098" max="14098" width="8.5703125" style="807" customWidth="1"/>
    <col min="14099" max="14100" width="10.5703125" style="807" customWidth="1"/>
    <col min="14101" max="14101" width="11.140625" style="807" customWidth="1"/>
    <col min="14102" max="14102" width="10.7109375" style="807" bestFit="1" customWidth="1"/>
    <col min="14103" max="14337" width="9.140625" style="807"/>
    <col min="14338" max="14338" width="11.28515625" style="807" customWidth="1"/>
    <col min="14339" max="14339" width="9.7109375" style="807" customWidth="1"/>
    <col min="14340" max="14340" width="8.140625" style="807" customWidth="1"/>
    <col min="14341" max="14341" width="7.42578125" style="807" customWidth="1"/>
    <col min="14342" max="14342" width="9.140625" style="807" customWidth="1"/>
    <col min="14343" max="14343" width="9.5703125" style="807" customWidth="1"/>
    <col min="14344" max="14344" width="8.140625" style="807" customWidth="1"/>
    <col min="14345" max="14345" width="6.85546875" style="807" customWidth="1"/>
    <col min="14346" max="14346" width="9.28515625" style="807" customWidth="1"/>
    <col min="14347" max="14347" width="10.5703125" style="807" customWidth="1"/>
    <col min="14348" max="14348" width="8.7109375" style="807" customWidth="1"/>
    <col min="14349" max="14349" width="7.42578125" style="807" customWidth="1"/>
    <col min="14350" max="14350" width="8.5703125" style="807" customWidth="1"/>
    <col min="14351" max="14351" width="8.7109375" style="807" customWidth="1"/>
    <col min="14352" max="14352" width="8.5703125" style="807" customWidth="1"/>
    <col min="14353" max="14353" width="7.85546875" style="807" customWidth="1"/>
    <col min="14354" max="14354" width="8.5703125" style="807" customWidth="1"/>
    <col min="14355" max="14356" width="10.5703125" style="807" customWidth="1"/>
    <col min="14357" max="14357" width="11.140625" style="807" customWidth="1"/>
    <col min="14358" max="14358" width="10.7109375" style="807" bestFit="1" customWidth="1"/>
    <col min="14359" max="14593" width="9.140625" style="807"/>
    <col min="14594" max="14594" width="11.28515625" style="807" customWidth="1"/>
    <col min="14595" max="14595" width="9.7109375" style="807" customWidth="1"/>
    <col min="14596" max="14596" width="8.140625" style="807" customWidth="1"/>
    <col min="14597" max="14597" width="7.42578125" style="807" customWidth="1"/>
    <col min="14598" max="14598" width="9.140625" style="807" customWidth="1"/>
    <col min="14599" max="14599" width="9.5703125" style="807" customWidth="1"/>
    <col min="14600" max="14600" width="8.140625" style="807" customWidth="1"/>
    <col min="14601" max="14601" width="6.85546875" style="807" customWidth="1"/>
    <col min="14602" max="14602" width="9.28515625" style="807" customWidth="1"/>
    <col min="14603" max="14603" width="10.5703125" style="807" customWidth="1"/>
    <col min="14604" max="14604" width="8.7109375" style="807" customWidth="1"/>
    <col min="14605" max="14605" width="7.42578125" style="807" customWidth="1"/>
    <col min="14606" max="14606" width="8.5703125" style="807" customWidth="1"/>
    <col min="14607" max="14607" width="8.7109375" style="807" customWidth="1"/>
    <col min="14608" max="14608" width="8.5703125" style="807" customWidth="1"/>
    <col min="14609" max="14609" width="7.85546875" style="807" customWidth="1"/>
    <col min="14610" max="14610" width="8.5703125" style="807" customWidth="1"/>
    <col min="14611" max="14612" width="10.5703125" style="807" customWidth="1"/>
    <col min="14613" max="14613" width="11.140625" style="807" customWidth="1"/>
    <col min="14614" max="14614" width="10.7109375" style="807" bestFit="1" customWidth="1"/>
    <col min="14615" max="14849" width="9.140625" style="807"/>
    <col min="14850" max="14850" width="11.28515625" style="807" customWidth="1"/>
    <col min="14851" max="14851" width="9.7109375" style="807" customWidth="1"/>
    <col min="14852" max="14852" width="8.140625" style="807" customWidth="1"/>
    <col min="14853" max="14853" width="7.42578125" style="807" customWidth="1"/>
    <col min="14854" max="14854" width="9.140625" style="807" customWidth="1"/>
    <col min="14855" max="14855" width="9.5703125" style="807" customWidth="1"/>
    <col min="14856" max="14856" width="8.140625" style="807" customWidth="1"/>
    <col min="14857" max="14857" width="6.85546875" style="807" customWidth="1"/>
    <col min="14858" max="14858" width="9.28515625" style="807" customWidth="1"/>
    <col min="14859" max="14859" width="10.5703125" style="807" customWidth="1"/>
    <col min="14860" max="14860" width="8.7109375" style="807" customWidth="1"/>
    <col min="14861" max="14861" width="7.42578125" style="807" customWidth="1"/>
    <col min="14862" max="14862" width="8.5703125" style="807" customWidth="1"/>
    <col min="14863" max="14863" width="8.7109375" style="807" customWidth="1"/>
    <col min="14864" max="14864" width="8.5703125" style="807" customWidth="1"/>
    <col min="14865" max="14865" width="7.85546875" style="807" customWidth="1"/>
    <col min="14866" max="14866" width="8.5703125" style="807" customWidth="1"/>
    <col min="14867" max="14868" width="10.5703125" style="807" customWidth="1"/>
    <col min="14869" max="14869" width="11.140625" style="807" customWidth="1"/>
    <col min="14870" max="14870" width="10.7109375" style="807" bestFit="1" customWidth="1"/>
    <col min="14871" max="15105" width="9.140625" style="807"/>
    <col min="15106" max="15106" width="11.28515625" style="807" customWidth="1"/>
    <col min="15107" max="15107" width="9.7109375" style="807" customWidth="1"/>
    <col min="15108" max="15108" width="8.140625" style="807" customWidth="1"/>
    <col min="15109" max="15109" width="7.42578125" style="807" customWidth="1"/>
    <col min="15110" max="15110" width="9.140625" style="807" customWidth="1"/>
    <col min="15111" max="15111" width="9.5703125" style="807" customWidth="1"/>
    <col min="15112" max="15112" width="8.140625" style="807" customWidth="1"/>
    <col min="15113" max="15113" width="6.85546875" style="807" customWidth="1"/>
    <col min="15114" max="15114" width="9.28515625" style="807" customWidth="1"/>
    <col min="15115" max="15115" width="10.5703125" style="807" customWidth="1"/>
    <col min="15116" max="15116" width="8.7109375" style="807" customWidth="1"/>
    <col min="15117" max="15117" width="7.42578125" style="807" customWidth="1"/>
    <col min="15118" max="15118" width="8.5703125" style="807" customWidth="1"/>
    <col min="15119" max="15119" width="8.7109375" style="807" customWidth="1"/>
    <col min="15120" max="15120" width="8.5703125" style="807" customWidth="1"/>
    <col min="15121" max="15121" width="7.85546875" style="807" customWidth="1"/>
    <col min="15122" max="15122" width="8.5703125" style="807" customWidth="1"/>
    <col min="15123" max="15124" width="10.5703125" style="807" customWidth="1"/>
    <col min="15125" max="15125" width="11.140625" style="807" customWidth="1"/>
    <col min="15126" max="15126" width="10.7109375" style="807" bestFit="1" customWidth="1"/>
    <col min="15127" max="15361" width="9.140625" style="807"/>
    <col min="15362" max="15362" width="11.28515625" style="807" customWidth="1"/>
    <col min="15363" max="15363" width="9.7109375" style="807" customWidth="1"/>
    <col min="15364" max="15364" width="8.140625" style="807" customWidth="1"/>
    <col min="15365" max="15365" width="7.42578125" style="807" customWidth="1"/>
    <col min="15366" max="15366" width="9.140625" style="807" customWidth="1"/>
    <col min="15367" max="15367" width="9.5703125" style="807" customWidth="1"/>
    <col min="15368" max="15368" width="8.140625" style="807" customWidth="1"/>
    <col min="15369" max="15369" width="6.85546875" style="807" customWidth="1"/>
    <col min="15370" max="15370" width="9.28515625" style="807" customWidth="1"/>
    <col min="15371" max="15371" width="10.5703125" style="807" customWidth="1"/>
    <col min="15372" max="15372" width="8.7109375" style="807" customWidth="1"/>
    <col min="15373" max="15373" width="7.42578125" style="807" customWidth="1"/>
    <col min="15374" max="15374" width="8.5703125" style="807" customWidth="1"/>
    <col min="15375" max="15375" width="8.7109375" style="807" customWidth="1"/>
    <col min="15376" max="15376" width="8.5703125" style="807" customWidth="1"/>
    <col min="15377" max="15377" width="7.85546875" style="807" customWidth="1"/>
    <col min="15378" max="15378" width="8.5703125" style="807" customWidth="1"/>
    <col min="15379" max="15380" width="10.5703125" style="807" customWidth="1"/>
    <col min="15381" max="15381" width="11.140625" style="807" customWidth="1"/>
    <col min="15382" max="15382" width="10.7109375" style="807" bestFit="1" customWidth="1"/>
    <col min="15383" max="15617" width="9.140625" style="807"/>
    <col min="15618" max="15618" width="11.28515625" style="807" customWidth="1"/>
    <col min="15619" max="15619" width="9.7109375" style="807" customWidth="1"/>
    <col min="15620" max="15620" width="8.140625" style="807" customWidth="1"/>
    <col min="15621" max="15621" width="7.42578125" style="807" customWidth="1"/>
    <col min="15622" max="15622" width="9.140625" style="807" customWidth="1"/>
    <col min="15623" max="15623" width="9.5703125" style="807" customWidth="1"/>
    <col min="15624" max="15624" width="8.140625" style="807" customWidth="1"/>
    <col min="15625" max="15625" width="6.85546875" style="807" customWidth="1"/>
    <col min="15626" max="15626" width="9.28515625" style="807" customWidth="1"/>
    <col min="15627" max="15627" width="10.5703125" style="807" customWidth="1"/>
    <col min="15628" max="15628" width="8.7109375" style="807" customWidth="1"/>
    <col min="15629" max="15629" width="7.42578125" style="807" customWidth="1"/>
    <col min="15630" max="15630" width="8.5703125" style="807" customWidth="1"/>
    <col min="15631" max="15631" width="8.7109375" style="807" customWidth="1"/>
    <col min="15632" max="15632" width="8.5703125" style="807" customWidth="1"/>
    <col min="15633" max="15633" width="7.85546875" style="807" customWidth="1"/>
    <col min="15634" max="15634" width="8.5703125" style="807" customWidth="1"/>
    <col min="15635" max="15636" width="10.5703125" style="807" customWidth="1"/>
    <col min="15637" max="15637" width="11.140625" style="807" customWidth="1"/>
    <col min="15638" max="15638" width="10.7109375" style="807" bestFit="1" customWidth="1"/>
    <col min="15639" max="15873" width="9.140625" style="807"/>
    <col min="15874" max="15874" width="11.28515625" style="807" customWidth="1"/>
    <col min="15875" max="15875" width="9.7109375" style="807" customWidth="1"/>
    <col min="15876" max="15876" width="8.140625" style="807" customWidth="1"/>
    <col min="15877" max="15877" width="7.42578125" style="807" customWidth="1"/>
    <col min="15878" max="15878" width="9.140625" style="807" customWidth="1"/>
    <col min="15879" max="15879" width="9.5703125" style="807" customWidth="1"/>
    <col min="15880" max="15880" width="8.140625" style="807" customWidth="1"/>
    <col min="15881" max="15881" width="6.85546875" style="807" customWidth="1"/>
    <col min="15882" max="15882" width="9.28515625" style="807" customWidth="1"/>
    <col min="15883" max="15883" width="10.5703125" style="807" customWidth="1"/>
    <col min="15884" max="15884" width="8.7109375" style="807" customWidth="1"/>
    <col min="15885" max="15885" width="7.42578125" style="807" customWidth="1"/>
    <col min="15886" max="15886" width="8.5703125" style="807" customWidth="1"/>
    <col min="15887" max="15887" width="8.7109375" style="807" customWidth="1"/>
    <col min="15888" max="15888" width="8.5703125" style="807" customWidth="1"/>
    <col min="15889" max="15889" width="7.85546875" style="807" customWidth="1"/>
    <col min="15890" max="15890" width="8.5703125" style="807" customWidth="1"/>
    <col min="15891" max="15892" width="10.5703125" style="807" customWidth="1"/>
    <col min="15893" max="15893" width="11.140625" style="807" customWidth="1"/>
    <col min="15894" max="15894" width="10.7109375" style="807" bestFit="1" customWidth="1"/>
    <col min="15895" max="16129" width="9.140625" style="807"/>
    <col min="16130" max="16130" width="11.28515625" style="807" customWidth="1"/>
    <col min="16131" max="16131" width="9.7109375" style="807" customWidth="1"/>
    <col min="16132" max="16132" width="8.140625" style="807" customWidth="1"/>
    <col min="16133" max="16133" width="7.42578125" style="807" customWidth="1"/>
    <col min="16134" max="16134" width="9.140625" style="807" customWidth="1"/>
    <col min="16135" max="16135" width="9.5703125" style="807" customWidth="1"/>
    <col min="16136" max="16136" width="8.140625" style="807" customWidth="1"/>
    <col min="16137" max="16137" width="6.85546875" style="807" customWidth="1"/>
    <col min="16138" max="16138" width="9.28515625" style="807" customWidth="1"/>
    <col min="16139" max="16139" width="10.5703125" style="807" customWidth="1"/>
    <col min="16140" max="16140" width="8.7109375" style="807" customWidth="1"/>
    <col min="16141" max="16141" width="7.42578125" style="807" customWidth="1"/>
    <col min="16142" max="16142" width="8.5703125" style="807" customWidth="1"/>
    <col min="16143" max="16143" width="8.7109375" style="807" customWidth="1"/>
    <col min="16144" max="16144" width="8.5703125" style="807" customWidth="1"/>
    <col min="16145" max="16145" width="7.85546875" style="807" customWidth="1"/>
    <col min="16146" max="16146" width="8.5703125" style="807" customWidth="1"/>
    <col min="16147" max="16148" width="10.5703125" style="807" customWidth="1"/>
    <col min="16149" max="16149" width="11.140625" style="807" customWidth="1"/>
    <col min="16150" max="16150" width="10.7109375" style="807" bestFit="1" customWidth="1"/>
    <col min="16151" max="16384" width="9.140625" style="807"/>
  </cols>
  <sheetData>
    <row r="1" spans="1:24" s="886" customFormat="1" ht="15.75" x14ac:dyDescent="0.25">
      <c r="C1" s="34"/>
      <c r="D1" s="34"/>
      <c r="E1" s="34"/>
      <c r="F1" s="34"/>
      <c r="G1" s="34"/>
      <c r="H1" s="34"/>
      <c r="I1" s="69" t="s">
        <v>0</v>
      </c>
      <c r="J1" s="69"/>
      <c r="S1" s="887"/>
      <c r="T1" s="887"/>
      <c r="U1" s="1225" t="s">
        <v>680</v>
      </c>
      <c r="V1" s="1225"/>
      <c r="W1" s="32"/>
      <c r="X1" s="32"/>
    </row>
    <row r="2" spans="1:24" s="886" customFormat="1" ht="20.25" x14ac:dyDescent="0.3">
      <c r="E2" s="1180" t="s">
        <v>788</v>
      </c>
      <c r="F2" s="1180"/>
      <c r="G2" s="1180"/>
      <c r="H2" s="1180"/>
      <c r="I2" s="1180"/>
      <c r="J2" s="1180"/>
      <c r="K2" s="1180"/>
      <c r="L2" s="1180"/>
      <c r="M2" s="1180"/>
      <c r="N2" s="1180"/>
      <c r="O2" s="1180"/>
      <c r="P2" s="1180"/>
    </row>
    <row r="3" spans="1:24" s="886" customFormat="1" ht="20.25" x14ac:dyDescent="0.3">
      <c r="H3" s="33"/>
      <c r="I3" s="33"/>
      <c r="J3" s="33"/>
      <c r="K3" s="33"/>
      <c r="L3" s="33"/>
      <c r="M3" s="33"/>
      <c r="N3" s="33"/>
      <c r="O3" s="33"/>
      <c r="P3" s="33"/>
    </row>
    <row r="4" spans="1:24" ht="18" x14ac:dyDescent="0.25">
      <c r="A4" s="1515" t="s">
        <v>1105</v>
      </c>
      <c r="B4" s="1515"/>
      <c r="C4" s="1515"/>
      <c r="D4" s="1515"/>
      <c r="E4" s="1515"/>
      <c r="F4" s="1515"/>
      <c r="G4" s="1515"/>
      <c r="H4" s="1515"/>
      <c r="I4" s="1515"/>
      <c r="J4" s="1515"/>
      <c r="K4" s="1515"/>
      <c r="L4" s="1515"/>
      <c r="M4" s="1515"/>
      <c r="N4" s="1515"/>
      <c r="O4" s="1515"/>
      <c r="P4" s="1515"/>
      <c r="Q4" s="1515"/>
      <c r="R4" s="1515"/>
      <c r="S4" s="1515"/>
      <c r="T4" s="1515"/>
      <c r="U4" s="1515"/>
      <c r="V4" s="1515"/>
      <c r="W4" s="69"/>
    </row>
    <row r="5" spans="1:24" x14ac:dyDescent="0.25">
      <c r="C5" s="808"/>
      <c r="D5" s="808"/>
      <c r="E5" s="808"/>
      <c r="F5" s="808"/>
      <c r="G5" s="808"/>
      <c r="H5" s="808"/>
      <c r="M5" s="808"/>
      <c r="N5" s="808"/>
      <c r="O5" s="808"/>
      <c r="P5" s="808"/>
      <c r="Q5" s="808"/>
      <c r="R5" s="808"/>
      <c r="S5" s="808"/>
      <c r="T5" s="808"/>
      <c r="U5" s="808"/>
      <c r="V5" s="808"/>
      <c r="W5" s="808"/>
    </row>
    <row r="6" spans="1:24" x14ac:dyDescent="0.25">
      <c r="A6" s="822" t="s">
        <v>850</v>
      </c>
      <c r="B6" s="810"/>
    </row>
    <row r="7" spans="1:24" x14ac:dyDescent="0.25">
      <c r="B7" s="811"/>
    </row>
    <row r="8" spans="1:24" s="822" customFormat="1" ht="24.75" customHeight="1" x14ac:dyDescent="0.25">
      <c r="A8" s="1145" t="s">
        <v>2</v>
      </c>
      <c r="B8" s="1510" t="s">
        <v>3</v>
      </c>
      <c r="C8" s="1511" t="s">
        <v>851</v>
      </c>
      <c r="D8" s="1512"/>
      <c r="E8" s="1512"/>
      <c r="F8" s="1512"/>
      <c r="G8" s="1511" t="s">
        <v>852</v>
      </c>
      <c r="H8" s="1512"/>
      <c r="I8" s="1512"/>
      <c r="J8" s="1512"/>
      <c r="K8" s="1511" t="s">
        <v>853</v>
      </c>
      <c r="L8" s="1512"/>
      <c r="M8" s="1512"/>
      <c r="N8" s="1512"/>
      <c r="O8" s="1511" t="s">
        <v>854</v>
      </c>
      <c r="P8" s="1512"/>
      <c r="Q8" s="1512"/>
      <c r="R8" s="1512"/>
      <c r="S8" s="1513" t="s">
        <v>18</v>
      </c>
      <c r="T8" s="1514"/>
      <c r="U8" s="1514"/>
      <c r="V8" s="1514"/>
    </row>
    <row r="9" spans="1:24" s="812" customFormat="1" ht="29.25" customHeight="1" x14ac:dyDescent="0.25">
      <c r="A9" s="1145"/>
      <c r="B9" s="1510"/>
      <c r="C9" s="1516" t="s">
        <v>855</v>
      </c>
      <c r="D9" s="1518" t="s">
        <v>856</v>
      </c>
      <c r="E9" s="1519"/>
      <c r="F9" s="1520"/>
      <c r="G9" s="1516" t="s">
        <v>855</v>
      </c>
      <c r="H9" s="1518" t="s">
        <v>856</v>
      </c>
      <c r="I9" s="1519"/>
      <c r="J9" s="1520"/>
      <c r="K9" s="1516" t="s">
        <v>855</v>
      </c>
      <c r="L9" s="1518" t="s">
        <v>856</v>
      </c>
      <c r="M9" s="1519"/>
      <c r="N9" s="1520"/>
      <c r="O9" s="1516" t="s">
        <v>855</v>
      </c>
      <c r="P9" s="1518" t="s">
        <v>856</v>
      </c>
      <c r="Q9" s="1519"/>
      <c r="R9" s="1520"/>
      <c r="S9" s="1516" t="s">
        <v>855</v>
      </c>
      <c r="T9" s="1518" t="s">
        <v>856</v>
      </c>
      <c r="U9" s="1519"/>
      <c r="V9" s="1520"/>
    </row>
    <row r="10" spans="1:24" s="812" customFormat="1" ht="46.5" customHeight="1" x14ac:dyDescent="0.25">
      <c r="A10" s="1145"/>
      <c r="B10" s="1510"/>
      <c r="C10" s="1517"/>
      <c r="D10" s="871" t="s">
        <v>218</v>
      </c>
      <c r="E10" s="871" t="s">
        <v>219</v>
      </c>
      <c r="F10" s="871" t="s">
        <v>18</v>
      </c>
      <c r="G10" s="1517"/>
      <c r="H10" s="871" t="s">
        <v>218</v>
      </c>
      <c r="I10" s="871" t="s">
        <v>219</v>
      </c>
      <c r="J10" s="871" t="s">
        <v>18</v>
      </c>
      <c r="K10" s="1517"/>
      <c r="L10" s="871" t="s">
        <v>218</v>
      </c>
      <c r="M10" s="871" t="s">
        <v>219</v>
      </c>
      <c r="N10" s="871" t="s">
        <v>18</v>
      </c>
      <c r="O10" s="1517"/>
      <c r="P10" s="871" t="s">
        <v>218</v>
      </c>
      <c r="Q10" s="871" t="s">
        <v>219</v>
      </c>
      <c r="R10" s="871" t="s">
        <v>18</v>
      </c>
      <c r="S10" s="1517"/>
      <c r="T10" s="871" t="s">
        <v>218</v>
      </c>
      <c r="U10" s="871" t="s">
        <v>219</v>
      </c>
      <c r="V10" s="871" t="s">
        <v>18</v>
      </c>
    </row>
    <row r="11" spans="1:24" s="825" customFormat="1" ht="16.149999999999999" customHeight="1" x14ac:dyDescent="0.25">
      <c r="A11" s="823">
        <v>1</v>
      </c>
      <c r="B11" s="824">
        <v>2</v>
      </c>
      <c r="C11" s="824">
        <v>3</v>
      </c>
      <c r="D11" s="823">
        <v>4</v>
      </c>
      <c r="E11" s="824">
        <v>5</v>
      </c>
      <c r="F11" s="824">
        <v>6</v>
      </c>
      <c r="G11" s="823">
        <v>7</v>
      </c>
      <c r="H11" s="824">
        <v>8</v>
      </c>
      <c r="I11" s="824">
        <v>9</v>
      </c>
      <c r="J11" s="823">
        <v>10</v>
      </c>
      <c r="K11" s="824">
        <v>11</v>
      </c>
      <c r="L11" s="824">
        <v>12</v>
      </c>
      <c r="M11" s="823">
        <v>13</v>
      </c>
      <c r="N11" s="824">
        <v>14</v>
      </c>
      <c r="O11" s="824">
        <v>15</v>
      </c>
      <c r="P11" s="823">
        <v>16</v>
      </c>
      <c r="Q11" s="824">
        <v>17</v>
      </c>
      <c r="R11" s="824">
        <v>18</v>
      </c>
      <c r="S11" s="823">
        <v>19</v>
      </c>
      <c r="T11" s="824">
        <v>20</v>
      </c>
      <c r="U11" s="824">
        <v>21</v>
      </c>
      <c r="V11" s="823">
        <v>22</v>
      </c>
    </row>
    <row r="12" spans="1:24" ht="15.75" x14ac:dyDescent="0.25">
      <c r="A12" s="626">
        <v>1</v>
      </c>
      <c r="B12" s="867" t="s">
        <v>386</v>
      </c>
      <c r="C12" s="864">
        <v>0</v>
      </c>
      <c r="D12" s="865">
        <f>C12*9000*0.00001</f>
        <v>0</v>
      </c>
      <c r="E12" s="865">
        <f>C12*1000*0.00001</f>
        <v>0</v>
      </c>
      <c r="F12" s="865">
        <f>D12+E12</f>
        <v>0</v>
      </c>
      <c r="G12" s="864">
        <v>0</v>
      </c>
      <c r="H12" s="865">
        <f>G12*13500*0.00001</f>
        <v>0</v>
      </c>
      <c r="I12" s="865">
        <f>G12*1500*0.00001</f>
        <v>0</v>
      </c>
      <c r="J12" s="865">
        <f>H12+I12</f>
        <v>0</v>
      </c>
      <c r="K12" s="864">
        <v>0</v>
      </c>
      <c r="L12" s="865">
        <f>K12*18000*0.00001</f>
        <v>0</v>
      </c>
      <c r="M12" s="865">
        <f>K12*2000*0.00001</f>
        <v>0</v>
      </c>
      <c r="N12" s="865">
        <f>L12+M12</f>
        <v>0</v>
      </c>
      <c r="O12" s="864">
        <v>0</v>
      </c>
      <c r="P12" s="865">
        <f>O12*22500*0.00001</f>
        <v>0</v>
      </c>
      <c r="Q12" s="865">
        <f>O12*2500*0.00001</f>
        <v>0</v>
      </c>
      <c r="R12" s="865">
        <f>P12+Q12</f>
        <v>0</v>
      </c>
      <c r="S12" s="864">
        <f>C12+G12+K12+O12</f>
        <v>0</v>
      </c>
      <c r="T12" s="865">
        <f t="shared" ref="T12:U24" si="0">D12+H12+L12+P12</f>
        <v>0</v>
      </c>
      <c r="U12" s="865">
        <f t="shared" si="0"/>
        <v>0</v>
      </c>
      <c r="V12" s="865">
        <f>T12+U12</f>
        <v>0</v>
      </c>
    </row>
    <row r="13" spans="1:24" ht="15.75" x14ac:dyDescent="0.25">
      <c r="A13" s="626">
        <v>2</v>
      </c>
      <c r="B13" s="867" t="s">
        <v>387</v>
      </c>
      <c r="C13" s="864">
        <v>0</v>
      </c>
      <c r="D13" s="865">
        <f t="shared" ref="D13:D24" si="1">C13*9000*0.00001</f>
        <v>0</v>
      </c>
      <c r="E13" s="865">
        <f t="shared" ref="E13:E24" si="2">C13*1000*0.00001</f>
        <v>0</v>
      </c>
      <c r="F13" s="865">
        <f t="shared" ref="F13:F24" si="3">D13+E13</f>
        <v>0</v>
      </c>
      <c r="G13" s="864">
        <v>0</v>
      </c>
      <c r="H13" s="865">
        <f t="shared" ref="H13:H24" si="4">G13*13500*0.00001</f>
        <v>0</v>
      </c>
      <c r="I13" s="865">
        <f t="shared" ref="I13:I24" si="5">G13*1500*0.00001</f>
        <v>0</v>
      </c>
      <c r="J13" s="865">
        <f t="shared" ref="J13:J24" si="6">H13+I13</f>
        <v>0</v>
      </c>
      <c r="K13" s="864">
        <v>0</v>
      </c>
      <c r="L13" s="865">
        <f t="shared" ref="L13:L24" si="7">K13*18000*0.00001</f>
        <v>0</v>
      </c>
      <c r="M13" s="865">
        <f t="shared" ref="M13:M24" si="8">K13*2000*0.00001</f>
        <v>0</v>
      </c>
      <c r="N13" s="865">
        <f t="shared" ref="N13:N24" si="9">L13+M13</f>
        <v>0</v>
      </c>
      <c r="O13" s="864">
        <v>0</v>
      </c>
      <c r="P13" s="865">
        <f t="shared" ref="P13:P24" si="10">O13*22500*0.00001</f>
        <v>0</v>
      </c>
      <c r="Q13" s="865">
        <f t="shared" ref="Q13:Q24" si="11">O13*2500*0.00001</f>
        <v>0</v>
      </c>
      <c r="R13" s="865">
        <f t="shared" ref="R13:R24" si="12">P13+Q13</f>
        <v>0</v>
      </c>
      <c r="S13" s="864">
        <f t="shared" ref="S13:S24" si="13">C13+G13+K13+O13</f>
        <v>0</v>
      </c>
      <c r="T13" s="865">
        <f t="shared" si="0"/>
        <v>0</v>
      </c>
      <c r="U13" s="865">
        <f t="shared" si="0"/>
        <v>0</v>
      </c>
      <c r="V13" s="865">
        <f t="shared" ref="V13:V24" si="14">T13+U13</f>
        <v>0</v>
      </c>
    </row>
    <row r="14" spans="1:24" ht="15.75" x14ac:dyDescent="0.25">
      <c r="A14" s="626">
        <v>3</v>
      </c>
      <c r="B14" s="867" t="s">
        <v>388</v>
      </c>
      <c r="C14" s="864">
        <v>0</v>
      </c>
      <c r="D14" s="865">
        <f t="shared" si="1"/>
        <v>0</v>
      </c>
      <c r="E14" s="865">
        <f t="shared" si="2"/>
        <v>0</v>
      </c>
      <c r="F14" s="865">
        <f t="shared" si="3"/>
        <v>0</v>
      </c>
      <c r="G14" s="864">
        <v>0</v>
      </c>
      <c r="H14" s="865">
        <f t="shared" si="4"/>
        <v>0</v>
      </c>
      <c r="I14" s="865">
        <f t="shared" si="5"/>
        <v>0</v>
      </c>
      <c r="J14" s="865">
        <f t="shared" si="6"/>
        <v>0</v>
      </c>
      <c r="K14" s="864">
        <v>0</v>
      </c>
      <c r="L14" s="865">
        <f t="shared" si="7"/>
        <v>0</v>
      </c>
      <c r="M14" s="865">
        <f t="shared" si="8"/>
        <v>0</v>
      </c>
      <c r="N14" s="865">
        <f t="shared" si="9"/>
        <v>0</v>
      </c>
      <c r="O14" s="864">
        <v>0</v>
      </c>
      <c r="P14" s="865">
        <f t="shared" si="10"/>
        <v>0</v>
      </c>
      <c r="Q14" s="865">
        <f t="shared" si="11"/>
        <v>0</v>
      </c>
      <c r="R14" s="865">
        <f t="shared" si="12"/>
        <v>0</v>
      </c>
      <c r="S14" s="864">
        <f t="shared" si="13"/>
        <v>0</v>
      </c>
      <c r="T14" s="865">
        <f t="shared" si="0"/>
        <v>0</v>
      </c>
      <c r="U14" s="865">
        <f t="shared" si="0"/>
        <v>0</v>
      </c>
      <c r="V14" s="865">
        <f t="shared" si="14"/>
        <v>0</v>
      </c>
    </row>
    <row r="15" spans="1:24" ht="15.75" x14ac:dyDescent="0.25">
      <c r="A15" s="626">
        <v>4</v>
      </c>
      <c r="B15" s="867" t="s">
        <v>389</v>
      </c>
      <c r="C15" s="864">
        <v>0</v>
      </c>
      <c r="D15" s="865">
        <f t="shared" si="1"/>
        <v>0</v>
      </c>
      <c r="E15" s="865">
        <f t="shared" si="2"/>
        <v>0</v>
      </c>
      <c r="F15" s="865">
        <f t="shared" si="3"/>
        <v>0</v>
      </c>
      <c r="G15" s="864">
        <v>0</v>
      </c>
      <c r="H15" s="865">
        <f t="shared" si="4"/>
        <v>0</v>
      </c>
      <c r="I15" s="865">
        <f t="shared" si="5"/>
        <v>0</v>
      </c>
      <c r="J15" s="865">
        <f t="shared" si="6"/>
        <v>0</v>
      </c>
      <c r="K15" s="864">
        <v>0</v>
      </c>
      <c r="L15" s="865">
        <f t="shared" si="7"/>
        <v>0</v>
      </c>
      <c r="M15" s="865">
        <f t="shared" si="8"/>
        <v>0</v>
      </c>
      <c r="N15" s="865">
        <f t="shared" si="9"/>
        <v>0</v>
      </c>
      <c r="O15" s="864">
        <v>0</v>
      </c>
      <c r="P15" s="865">
        <f t="shared" si="10"/>
        <v>0</v>
      </c>
      <c r="Q15" s="865">
        <f t="shared" si="11"/>
        <v>0</v>
      </c>
      <c r="R15" s="865">
        <f t="shared" si="12"/>
        <v>0</v>
      </c>
      <c r="S15" s="864">
        <f t="shared" si="13"/>
        <v>0</v>
      </c>
      <c r="T15" s="865">
        <f t="shared" si="0"/>
        <v>0</v>
      </c>
      <c r="U15" s="865">
        <f t="shared" si="0"/>
        <v>0</v>
      </c>
      <c r="V15" s="865">
        <f t="shared" si="14"/>
        <v>0</v>
      </c>
    </row>
    <row r="16" spans="1:24" ht="15.75" x14ac:dyDescent="0.25">
      <c r="A16" s="626">
        <v>5</v>
      </c>
      <c r="B16" s="867" t="s">
        <v>390</v>
      </c>
      <c r="C16" s="864">
        <v>1</v>
      </c>
      <c r="D16" s="865">
        <f t="shared" si="1"/>
        <v>9.0000000000000011E-2</v>
      </c>
      <c r="E16" s="865">
        <f t="shared" si="2"/>
        <v>0.01</v>
      </c>
      <c r="F16" s="865">
        <f t="shared" si="3"/>
        <v>0.1</v>
      </c>
      <c r="G16" s="864">
        <v>0</v>
      </c>
      <c r="H16" s="865">
        <f t="shared" si="4"/>
        <v>0</v>
      </c>
      <c r="I16" s="865">
        <f t="shared" si="5"/>
        <v>0</v>
      </c>
      <c r="J16" s="865">
        <f t="shared" si="6"/>
        <v>0</v>
      </c>
      <c r="K16" s="864">
        <v>0</v>
      </c>
      <c r="L16" s="865">
        <f t="shared" si="7"/>
        <v>0</v>
      </c>
      <c r="M16" s="865">
        <f t="shared" si="8"/>
        <v>0</v>
      </c>
      <c r="N16" s="865">
        <f t="shared" si="9"/>
        <v>0</v>
      </c>
      <c r="O16" s="864">
        <v>0</v>
      </c>
      <c r="P16" s="865">
        <f t="shared" si="10"/>
        <v>0</v>
      </c>
      <c r="Q16" s="865">
        <f t="shared" si="11"/>
        <v>0</v>
      </c>
      <c r="R16" s="865">
        <f t="shared" si="12"/>
        <v>0</v>
      </c>
      <c r="S16" s="864">
        <f t="shared" si="13"/>
        <v>1</v>
      </c>
      <c r="T16" s="865">
        <f t="shared" si="0"/>
        <v>9.0000000000000011E-2</v>
      </c>
      <c r="U16" s="865">
        <f t="shared" si="0"/>
        <v>0.01</v>
      </c>
      <c r="V16" s="865">
        <f t="shared" si="14"/>
        <v>0.1</v>
      </c>
    </row>
    <row r="17" spans="1:22" ht="15.75" x14ac:dyDescent="0.25">
      <c r="A17" s="626">
        <v>6</v>
      </c>
      <c r="B17" s="867" t="s">
        <v>391</v>
      </c>
      <c r="C17" s="864">
        <v>4</v>
      </c>
      <c r="D17" s="865">
        <f t="shared" si="1"/>
        <v>0.36000000000000004</v>
      </c>
      <c r="E17" s="865">
        <f t="shared" si="2"/>
        <v>0.04</v>
      </c>
      <c r="F17" s="865">
        <f t="shared" si="3"/>
        <v>0.4</v>
      </c>
      <c r="G17" s="864">
        <v>28</v>
      </c>
      <c r="H17" s="865">
        <f t="shared" si="4"/>
        <v>3.7800000000000002</v>
      </c>
      <c r="I17" s="865">
        <f t="shared" si="5"/>
        <v>0.42000000000000004</v>
      </c>
      <c r="J17" s="865">
        <f t="shared" si="6"/>
        <v>4.2</v>
      </c>
      <c r="K17" s="864">
        <v>16</v>
      </c>
      <c r="L17" s="865">
        <f t="shared" si="7"/>
        <v>2.8800000000000003</v>
      </c>
      <c r="M17" s="865">
        <f t="shared" si="8"/>
        <v>0.32</v>
      </c>
      <c r="N17" s="865">
        <f t="shared" si="9"/>
        <v>3.2</v>
      </c>
      <c r="O17" s="864">
        <v>3</v>
      </c>
      <c r="P17" s="865">
        <f t="shared" si="10"/>
        <v>0.67500000000000004</v>
      </c>
      <c r="Q17" s="865">
        <f t="shared" si="11"/>
        <v>7.5000000000000011E-2</v>
      </c>
      <c r="R17" s="865">
        <f t="shared" si="12"/>
        <v>0.75</v>
      </c>
      <c r="S17" s="864">
        <f t="shared" si="13"/>
        <v>51</v>
      </c>
      <c r="T17" s="865">
        <f t="shared" si="0"/>
        <v>7.6950000000000012</v>
      </c>
      <c r="U17" s="865">
        <f t="shared" si="0"/>
        <v>0.85499999999999998</v>
      </c>
      <c r="V17" s="865">
        <f t="shared" si="14"/>
        <v>8.5500000000000007</v>
      </c>
    </row>
    <row r="18" spans="1:22" ht="15.75" x14ac:dyDescent="0.25">
      <c r="A18" s="626">
        <v>7</v>
      </c>
      <c r="B18" s="867" t="s">
        <v>392</v>
      </c>
      <c r="C18" s="864">
        <v>0</v>
      </c>
      <c r="D18" s="865">
        <f t="shared" si="1"/>
        <v>0</v>
      </c>
      <c r="E18" s="865">
        <f t="shared" si="2"/>
        <v>0</v>
      </c>
      <c r="F18" s="865">
        <f t="shared" si="3"/>
        <v>0</v>
      </c>
      <c r="G18" s="864">
        <v>0</v>
      </c>
      <c r="H18" s="865">
        <f t="shared" si="4"/>
        <v>0</v>
      </c>
      <c r="I18" s="865">
        <f t="shared" si="5"/>
        <v>0</v>
      </c>
      <c r="J18" s="865">
        <f t="shared" si="6"/>
        <v>0</v>
      </c>
      <c r="K18" s="864">
        <v>0</v>
      </c>
      <c r="L18" s="865">
        <f t="shared" si="7"/>
        <v>0</v>
      </c>
      <c r="M18" s="865">
        <f t="shared" si="8"/>
        <v>0</v>
      </c>
      <c r="N18" s="865">
        <f t="shared" si="9"/>
        <v>0</v>
      </c>
      <c r="O18" s="864">
        <v>0</v>
      </c>
      <c r="P18" s="865">
        <f t="shared" si="10"/>
        <v>0</v>
      </c>
      <c r="Q18" s="865">
        <f t="shared" si="11"/>
        <v>0</v>
      </c>
      <c r="R18" s="865">
        <f t="shared" si="12"/>
        <v>0</v>
      </c>
      <c r="S18" s="864">
        <f t="shared" si="13"/>
        <v>0</v>
      </c>
      <c r="T18" s="865">
        <f t="shared" si="0"/>
        <v>0</v>
      </c>
      <c r="U18" s="865">
        <f t="shared" si="0"/>
        <v>0</v>
      </c>
      <c r="V18" s="865">
        <f t="shared" si="14"/>
        <v>0</v>
      </c>
    </row>
    <row r="19" spans="1:22" ht="15.75" x14ac:dyDescent="0.25">
      <c r="A19" s="626">
        <v>8</v>
      </c>
      <c r="B19" s="867" t="s">
        <v>393</v>
      </c>
      <c r="C19" s="864">
        <v>0</v>
      </c>
      <c r="D19" s="865">
        <f t="shared" si="1"/>
        <v>0</v>
      </c>
      <c r="E19" s="865">
        <f t="shared" si="2"/>
        <v>0</v>
      </c>
      <c r="F19" s="865">
        <f t="shared" si="3"/>
        <v>0</v>
      </c>
      <c r="G19" s="864">
        <v>0</v>
      </c>
      <c r="H19" s="865">
        <f t="shared" si="4"/>
        <v>0</v>
      </c>
      <c r="I19" s="865">
        <f t="shared" si="5"/>
        <v>0</v>
      </c>
      <c r="J19" s="865">
        <f t="shared" si="6"/>
        <v>0</v>
      </c>
      <c r="K19" s="864">
        <v>0</v>
      </c>
      <c r="L19" s="865">
        <f t="shared" si="7"/>
        <v>0</v>
      </c>
      <c r="M19" s="865">
        <f t="shared" si="8"/>
        <v>0</v>
      </c>
      <c r="N19" s="865">
        <f t="shared" si="9"/>
        <v>0</v>
      </c>
      <c r="O19" s="864">
        <v>0</v>
      </c>
      <c r="P19" s="865">
        <f t="shared" si="10"/>
        <v>0</v>
      </c>
      <c r="Q19" s="865">
        <f t="shared" si="11"/>
        <v>0</v>
      </c>
      <c r="R19" s="865">
        <f t="shared" si="12"/>
        <v>0</v>
      </c>
      <c r="S19" s="864">
        <f t="shared" si="13"/>
        <v>0</v>
      </c>
      <c r="T19" s="865">
        <f t="shared" si="0"/>
        <v>0</v>
      </c>
      <c r="U19" s="865">
        <f t="shared" si="0"/>
        <v>0</v>
      </c>
      <c r="V19" s="865">
        <f t="shared" si="14"/>
        <v>0</v>
      </c>
    </row>
    <row r="20" spans="1:22" ht="15.75" x14ac:dyDescent="0.25">
      <c r="A20" s="626">
        <v>9</v>
      </c>
      <c r="B20" s="867" t="s">
        <v>394</v>
      </c>
      <c r="C20" s="864">
        <v>0</v>
      </c>
      <c r="D20" s="865">
        <f t="shared" si="1"/>
        <v>0</v>
      </c>
      <c r="E20" s="865">
        <f t="shared" si="2"/>
        <v>0</v>
      </c>
      <c r="F20" s="865">
        <f t="shared" si="3"/>
        <v>0</v>
      </c>
      <c r="G20" s="864">
        <v>0</v>
      </c>
      <c r="H20" s="865">
        <f t="shared" si="4"/>
        <v>0</v>
      </c>
      <c r="I20" s="865">
        <f t="shared" si="5"/>
        <v>0</v>
      </c>
      <c r="J20" s="865">
        <f t="shared" si="6"/>
        <v>0</v>
      </c>
      <c r="K20" s="864">
        <v>0</v>
      </c>
      <c r="L20" s="865">
        <f t="shared" si="7"/>
        <v>0</v>
      </c>
      <c r="M20" s="865">
        <f t="shared" si="8"/>
        <v>0</v>
      </c>
      <c r="N20" s="865">
        <f t="shared" si="9"/>
        <v>0</v>
      </c>
      <c r="O20" s="864">
        <v>0</v>
      </c>
      <c r="P20" s="865">
        <f t="shared" si="10"/>
        <v>0</v>
      </c>
      <c r="Q20" s="865">
        <f t="shared" si="11"/>
        <v>0</v>
      </c>
      <c r="R20" s="865">
        <f t="shared" si="12"/>
        <v>0</v>
      </c>
      <c r="S20" s="864">
        <f t="shared" si="13"/>
        <v>0</v>
      </c>
      <c r="T20" s="865">
        <f t="shared" si="0"/>
        <v>0</v>
      </c>
      <c r="U20" s="865">
        <f t="shared" si="0"/>
        <v>0</v>
      </c>
      <c r="V20" s="865">
        <f t="shared" si="14"/>
        <v>0</v>
      </c>
    </row>
    <row r="21" spans="1:22" ht="15.75" x14ac:dyDescent="0.25">
      <c r="A21" s="626">
        <v>10</v>
      </c>
      <c r="B21" s="867" t="s">
        <v>395</v>
      </c>
      <c r="C21" s="864">
        <v>0</v>
      </c>
      <c r="D21" s="865">
        <f t="shared" si="1"/>
        <v>0</v>
      </c>
      <c r="E21" s="865">
        <f t="shared" si="2"/>
        <v>0</v>
      </c>
      <c r="F21" s="865">
        <f t="shared" si="3"/>
        <v>0</v>
      </c>
      <c r="G21" s="864">
        <v>0</v>
      </c>
      <c r="H21" s="865">
        <f t="shared" si="4"/>
        <v>0</v>
      </c>
      <c r="I21" s="865">
        <f t="shared" si="5"/>
        <v>0</v>
      </c>
      <c r="J21" s="865">
        <f t="shared" si="6"/>
        <v>0</v>
      </c>
      <c r="K21" s="864">
        <v>0</v>
      </c>
      <c r="L21" s="865">
        <f t="shared" si="7"/>
        <v>0</v>
      </c>
      <c r="M21" s="865">
        <f t="shared" si="8"/>
        <v>0</v>
      </c>
      <c r="N21" s="865">
        <f t="shared" si="9"/>
        <v>0</v>
      </c>
      <c r="O21" s="864">
        <v>0</v>
      </c>
      <c r="P21" s="865">
        <f t="shared" si="10"/>
        <v>0</v>
      </c>
      <c r="Q21" s="865">
        <f t="shared" si="11"/>
        <v>0</v>
      </c>
      <c r="R21" s="865">
        <f t="shared" si="12"/>
        <v>0</v>
      </c>
      <c r="S21" s="864">
        <f t="shared" si="13"/>
        <v>0</v>
      </c>
      <c r="T21" s="865">
        <f t="shared" si="0"/>
        <v>0</v>
      </c>
      <c r="U21" s="865">
        <f t="shared" si="0"/>
        <v>0</v>
      </c>
      <c r="V21" s="865">
        <f t="shared" si="14"/>
        <v>0</v>
      </c>
    </row>
    <row r="22" spans="1:22" ht="15.75" x14ac:dyDescent="0.25">
      <c r="A22" s="626">
        <v>11</v>
      </c>
      <c r="B22" s="867" t="s">
        <v>396</v>
      </c>
      <c r="C22" s="864">
        <v>0</v>
      </c>
      <c r="D22" s="865">
        <f t="shared" si="1"/>
        <v>0</v>
      </c>
      <c r="E22" s="865">
        <f t="shared" si="2"/>
        <v>0</v>
      </c>
      <c r="F22" s="865">
        <f t="shared" si="3"/>
        <v>0</v>
      </c>
      <c r="G22" s="864">
        <v>0</v>
      </c>
      <c r="H22" s="865">
        <f t="shared" si="4"/>
        <v>0</v>
      </c>
      <c r="I22" s="865">
        <f t="shared" si="5"/>
        <v>0</v>
      </c>
      <c r="J22" s="865">
        <f t="shared" si="6"/>
        <v>0</v>
      </c>
      <c r="K22" s="864">
        <v>0</v>
      </c>
      <c r="L22" s="865">
        <f t="shared" si="7"/>
        <v>0</v>
      </c>
      <c r="M22" s="865">
        <f t="shared" si="8"/>
        <v>0</v>
      </c>
      <c r="N22" s="865">
        <f t="shared" si="9"/>
        <v>0</v>
      </c>
      <c r="O22" s="864">
        <v>0</v>
      </c>
      <c r="P22" s="865">
        <f t="shared" si="10"/>
        <v>0</v>
      </c>
      <c r="Q22" s="865">
        <f t="shared" si="11"/>
        <v>0</v>
      </c>
      <c r="R22" s="865">
        <f t="shared" si="12"/>
        <v>0</v>
      </c>
      <c r="S22" s="864">
        <f t="shared" si="13"/>
        <v>0</v>
      </c>
      <c r="T22" s="865">
        <f t="shared" si="0"/>
        <v>0</v>
      </c>
      <c r="U22" s="865">
        <f t="shared" si="0"/>
        <v>0</v>
      </c>
      <c r="V22" s="865">
        <f t="shared" si="14"/>
        <v>0</v>
      </c>
    </row>
    <row r="23" spans="1:22" ht="15.75" x14ac:dyDescent="0.25">
      <c r="A23" s="626">
        <v>12</v>
      </c>
      <c r="B23" s="867" t="s">
        <v>397</v>
      </c>
      <c r="C23" s="864">
        <v>2</v>
      </c>
      <c r="D23" s="865">
        <f t="shared" si="1"/>
        <v>0.18000000000000002</v>
      </c>
      <c r="E23" s="865">
        <f t="shared" si="2"/>
        <v>0.02</v>
      </c>
      <c r="F23" s="865">
        <f t="shared" si="3"/>
        <v>0.2</v>
      </c>
      <c r="G23" s="864">
        <v>15</v>
      </c>
      <c r="H23" s="865">
        <f t="shared" si="4"/>
        <v>2.0250000000000004</v>
      </c>
      <c r="I23" s="865">
        <f t="shared" si="5"/>
        <v>0.22500000000000001</v>
      </c>
      <c r="J23" s="865">
        <f t="shared" si="6"/>
        <v>2.2500000000000004</v>
      </c>
      <c r="K23" s="864">
        <v>2</v>
      </c>
      <c r="L23" s="865">
        <f t="shared" si="7"/>
        <v>0.36000000000000004</v>
      </c>
      <c r="M23" s="865">
        <f t="shared" si="8"/>
        <v>0.04</v>
      </c>
      <c r="N23" s="865">
        <f t="shared" si="9"/>
        <v>0.4</v>
      </c>
      <c r="O23" s="864">
        <v>1</v>
      </c>
      <c r="P23" s="865">
        <f t="shared" si="10"/>
        <v>0.22500000000000001</v>
      </c>
      <c r="Q23" s="865">
        <f t="shared" si="11"/>
        <v>2.5000000000000001E-2</v>
      </c>
      <c r="R23" s="865">
        <f t="shared" si="12"/>
        <v>0.25</v>
      </c>
      <c r="S23" s="864">
        <f t="shared" si="13"/>
        <v>20</v>
      </c>
      <c r="T23" s="865">
        <f t="shared" si="0"/>
        <v>2.7900000000000005</v>
      </c>
      <c r="U23" s="865">
        <f t="shared" si="0"/>
        <v>0.31</v>
      </c>
      <c r="V23" s="865">
        <f t="shared" si="14"/>
        <v>3.1000000000000005</v>
      </c>
    </row>
    <row r="24" spans="1:22" ht="15.75" x14ac:dyDescent="0.25">
      <c r="A24" s="626">
        <v>13</v>
      </c>
      <c r="B24" s="867" t="s">
        <v>398</v>
      </c>
      <c r="C24" s="864">
        <v>0</v>
      </c>
      <c r="D24" s="865">
        <f t="shared" si="1"/>
        <v>0</v>
      </c>
      <c r="E24" s="865">
        <f t="shared" si="2"/>
        <v>0</v>
      </c>
      <c r="F24" s="865">
        <f t="shared" si="3"/>
        <v>0</v>
      </c>
      <c r="G24" s="864">
        <v>0</v>
      </c>
      <c r="H24" s="865">
        <f t="shared" si="4"/>
        <v>0</v>
      </c>
      <c r="I24" s="865">
        <f t="shared" si="5"/>
        <v>0</v>
      </c>
      <c r="J24" s="865">
        <f t="shared" si="6"/>
        <v>0</v>
      </c>
      <c r="K24" s="864">
        <v>0</v>
      </c>
      <c r="L24" s="865">
        <f t="shared" si="7"/>
        <v>0</v>
      </c>
      <c r="M24" s="865">
        <f t="shared" si="8"/>
        <v>0</v>
      </c>
      <c r="N24" s="865">
        <f t="shared" si="9"/>
        <v>0</v>
      </c>
      <c r="O24" s="864">
        <v>0</v>
      </c>
      <c r="P24" s="865">
        <f t="shared" si="10"/>
        <v>0</v>
      </c>
      <c r="Q24" s="865">
        <f t="shared" si="11"/>
        <v>0</v>
      </c>
      <c r="R24" s="865">
        <f t="shared" si="12"/>
        <v>0</v>
      </c>
      <c r="S24" s="864">
        <f t="shared" si="13"/>
        <v>0</v>
      </c>
      <c r="T24" s="865">
        <f t="shared" si="0"/>
        <v>0</v>
      </c>
      <c r="U24" s="865">
        <f t="shared" si="0"/>
        <v>0</v>
      </c>
      <c r="V24" s="865">
        <f t="shared" si="14"/>
        <v>0</v>
      </c>
    </row>
    <row r="25" spans="1:22" ht="15.75" x14ac:dyDescent="0.25">
      <c r="A25" s="630"/>
      <c r="B25" s="868" t="s">
        <v>18</v>
      </c>
      <c r="C25" s="870">
        <f t="shared" ref="C25:R25" si="15">SUM(C12:C24)</f>
        <v>7</v>
      </c>
      <c r="D25" s="869">
        <f t="shared" si="15"/>
        <v>0.63000000000000012</v>
      </c>
      <c r="E25" s="869">
        <f t="shared" si="15"/>
        <v>7.0000000000000007E-2</v>
      </c>
      <c r="F25" s="869">
        <f t="shared" si="15"/>
        <v>0.7</v>
      </c>
      <c r="G25" s="870">
        <f t="shared" si="15"/>
        <v>43</v>
      </c>
      <c r="H25" s="869">
        <f t="shared" si="15"/>
        <v>5.8050000000000006</v>
      </c>
      <c r="I25" s="869">
        <f t="shared" si="15"/>
        <v>0.64500000000000002</v>
      </c>
      <c r="J25" s="869">
        <f t="shared" si="15"/>
        <v>6.4500000000000011</v>
      </c>
      <c r="K25" s="870">
        <f t="shared" si="15"/>
        <v>18</v>
      </c>
      <c r="L25" s="869">
        <f t="shared" si="15"/>
        <v>3.24</v>
      </c>
      <c r="M25" s="869">
        <f t="shared" si="15"/>
        <v>0.36</v>
      </c>
      <c r="N25" s="869">
        <f t="shared" si="15"/>
        <v>3.6</v>
      </c>
      <c r="O25" s="870">
        <f t="shared" si="15"/>
        <v>4</v>
      </c>
      <c r="P25" s="869">
        <f t="shared" si="15"/>
        <v>0.9</v>
      </c>
      <c r="Q25" s="869">
        <f t="shared" si="15"/>
        <v>0.1</v>
      </c>
      <c r="R25" s="869">
        <f t="shared" si="15"/>
        <v>1</v>
      </c>
      <c r="S25" s="870">
        <f>SUM(S12:S24)</f>
        <v>72</v>
      </c>
      <c r="T25" s="869">
        <f>SUM(T12:T24)</f>
        <v>10.575000000000001</v>
      </c>
      <c r="U25" s="869">
        <f>SUM(U12:U24)</f>
        <v>1.175</v>
      </c>
      <c r="V25" s="869">
        <f>SUM(V12:V24)</f>
        <v>11.75</v>
      </c>
    </row>
    <row r="31" spans="1:22" s="886" customFormat="1" ht="12.75" x14ac:dyDescent="0.2">
      <c r="A31" s="11" t="s">
        <v>11</v>
      </c>
      <c r="G31" s="11"/>
      <c r="H31" s="11"/>
      <c r="K31" s="11"/>
      <c r="L31" s="11"/>
      <c r="M31" s="11"/>
      <c r="N31" s="11"/>
      <c r="O31" s="11"/>
      <c r="P31" s="11"/>
      <c r="Q31" s="11"/>
      <c r="R31" s="11"/>
      <c r="S31" s="885"/>
      <c r="T31" s="1073" t="s">
        <v>12</v>
      </c>
      <c r="U31" s="1073"/>
      <c r="V31" s="885"/>
    </row>
    <row r="32" spans="1:22" s="886" customFormat="1" ht="12.75" customHeight="1" x14ac:dyDescent="0.2">
      <c r="K32" s="1473" t="s">
        <v>13</v>
      </c>
      <c r="L32" s="1473"/>
      <c r="M32" s="1473"/>
      <c r="N32" s="1473"/>
      <c r="O32" s="1473"/>
      <c r="P32" s="1473"/>
      <c r="Q32" s="1473"/>
      <c r="R32" s="1473"/>
      <c r="S32" s="1473"/>
      <c r="T32" s="1473"/>
      <c r="U32" s="1473"/>
      <c r="V32" s="1473"/>
    </row>
    <row r="33" spans="1:22" s="886" customFormat="1" ht="12.75" customHeight="1" x14ac:dyDescent="0.2">
      <c r="J33" s="1473" t="s">
        <v>87</v>
      </c>
      <c r="K33" s="1473"/>
      <c r="L33" s="1473"/>
      <c r="M33" s="1473"/>
      <c r="N33" s="1473"/>
      <c r="O33" s="1473"/>
      <c r="P33" s="1473"/>
      <c r="Q33" s="1473"/>
      <c r="R33" s="1473"/>
      <c r="S33" s="1473"/>
      <c r="T33" s="1473"/>
      <c r="U33" s="1473"/>
      <c r="V33" s="1473"/>
    </row>
    <row r="34" spans="1:22" s="886" customFormat="1" ht="12.75" x14ac:dyDescent="0.2">
      <c r="A34" s="11"/>
      <c r="B34" s="11"/>
      <c r="K34" s="11"/>
      <c r="L34" s="11"/>
      <c r="M34" s="11"/>
      <c r="N34" s="11"/>
      <c r="O34" s="11"/>
      <c r="P34" s="11"/>
      <c r="Q34" s="1037" t="s">
        <v>84</v>
      </c>
      <c r="R34" s="1037"/>
      <c r="S34" s="1037"/>
      <c r="T34" s="1037"/>
      <c r="U34" s="1037"/>
      <c r="V34" s="1037"/>
    </row>
  </sheetData>
  <mergeCells count="24">
    <mergeCell ref="U1:V1"/>
    <mergeCell ref="E2:P2"/>
    <mergeCell ref="A4:V4"/>
    <mergeCell ref="A8:A10"/>
    <mergeCell ref="B8:B10"/>
    <mergeCell ref="C8:F8"/>
    <mergeCell ref="G8:J8"/>
    <mergeCell ref="K8:N8"/>
    <mergeCell ref="O8:R8"/>
    <mergeCell ref="S8:V8"/>
    <mergeCell ref="C9:C10"/>
    <mergeCell ref="D9:F9"/>
    <mergeCell ref="G9:G10"/>
    <mergeCell ref="H9:J9"/>
    <mergeCell ref="K9:K10"/>
    <mergeCell ref="J33:V33"/>
    <mergeCell ref="Q34:V34"/>
    <mergeCell ref="O9:O10"/>
    <mergeCell ref="P9:R9"/>
    <mergeCell ref="S9:S10"/>
    <mergeCell ref="T9:V9"/>
    <mergeCell ref="T31:U31"/>
    <mergeCell ref="K32:V32"/>
    <mergeCell ref="L9:N9"/>
  </mergeCells>
  <printOptions horizontalCentered="1"/>
  <pageMargins left="0.70866141732283472" right="0.70866141732283472" top="0.23622047244094491" bottom="0" header="0.31496062992125984" footer="0.31496062992125984"/>
  <pageSetup paperSize="9" scale="6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FFFF00"/>
  </sheetPr>
  <dimension ref="A1:K46"/>
  <sheetViews>
    <sheetView view="pageBreakPreview" topLeftCell="A5" zoomScaleNormal="80" zoomScaleSheetLayoutView="100" workbookViewId="0">
      <selection activeCell="G9" sqref="G9:G10"/>
    </sheetView>
  </sheetViews>
  <sheetFormatPr defaultRowHeight="12.75" x14ac:dyDescent="0.2"/>
  <cols>
    <col min="1" max="1" width="12" style="55" customWidth="1"/>
    <col min="2" max="2" width="34.85546875" style="55" customWidth="1"/>
    <col min="3" max="3" width="27.5703125" style="55" customWidth="1"/>
    <col min="4" max="6" width="19.85546875" style="55" customWidth="1"/>
    <col min="7" max="7" width="53.28515625" style="55" customWidth="1"/>
    <col min="8" max="8" width="10" style="55" bestFit="1" customWidth="1"/>
    <col min="9" max="9" width="11" style="55" bestFit="1" customWidth="1"/>
    <col min="10" max="10" width="9.140625" style="55"/>
    <col min="11" max="11" width="9.5703125" style="55" bestFit="1" customWidth="1"/>
    <col min="12" max="16384" width="9.140625" style="55"/>
  </cols>
  <sheetData>
    <row r="1" spans="1:11" ht="18" x14ac:dyDescent="0.25">
      <c r="A1" s="1621" t="s">
        <v>899</v>
      </c>
      <c r="B1" s="1621"/>
      <c r="C1" s="1621"/>
      <c r="D1" s="1621"/>
      <c r="E1" s="1621"/>
      <c r="F1" s="1621"/>
      <c r="G1" s="1621"/>
    </row>
    <row r="2" spans="1:11" ht="18" x14ac:dyDescent="0.25">
      <c r="A2" s="1622" t="s">
        <v>900</v>
      </c>
      <c r="B2" s="1622"/>
      <c r="C2" s="1622"/>
      <c r="D2" s="1622"/>
      <c r="E2" s="1622"/>
      <c r="F2" s="1622"/>
      <c r="G2" s="1622"/>
    </row>
    <row r="3" spans="1:11" ht="18.75" thickBot="1" x14ac:dyDescent="0.3">
      <c r="A3" s="59" t="s">
        <v>404</v>
      </c>
      <c r="B3" s="888"/>
      <c r="C3" s="888"/>
      <c r="D3" s="888"/>
      <c r="E3" s="888"/>
      <c r="F3" s="888"/>
      <c r="G3" s="888" t="s">
        <v>405</v>
      </c>
    </row>
    <row r="4" spans="1:11" ht="13.5" thickBot="1" x14ac:dyDescent="0.25">
      <c r="A4" s="935" t="s">
        <v>406</v>
      </c>
      <c r="B4" s="936" t="s">
        <v>407</v>
      </c>
      <c r="C4" s="945" t="s">
        <v>408</v>
      </c>
      <c r="D4" s="946" t="s">
        <v>409</v>
      </c>
      <c r="E4" s="947" t="s">
        <v>410</v>
      </c>
      <c r="F4" s="948" t="s">
        <v>18</v>
      </c>
      <c r="G4" s="945" t="s">
        <v>411</v>
      </c>
      <c r="K4" s="231"/>
    </row>
    <row r="5" spans="1:11" ht="19.5" customHeight="1" thickBot="1" x14ac:dyDescent="0.25">
      <c r="A5" s="1623" t="s">
        <v>255</v>
      </c>
      <c r="B5" s="1624"/>
      <c r="C5" s="1624"/>
      <c r="D5" s="1624"/>
      <c r="E5" s="1624"/>
      <c r="F5" s="1625"/>
      <c r="G5" s="878"/>
      <c r="K5" s="231"/>
    </row>
    <row r="6" spans="1:11" ht="19.5" customHeight="1" x14ac:dyDescent="0.2">
      <c r="A6" s="1626">
        <v>1</v>
      </c>
      <c r="B6" s="1627" t="s">
        <v>412</v>
      </c>
      <c r="C6" s="899" t="s">
        <v>901</v>
      </c>
      <c r="D6" s="730">
        <f>334750*241*3.91/100000</f>
        <v>3154.3827249999999</v>
      </c>
      <c r="E6" s="922">
        <f>334750*241*0.44/100000</f>
        <v>354.96890000000002</v>
      </c>
      <c r="F6" s="730">
        <f>D6+E6</f>
        <v>3509.3516249999998</v>
      </c>
      <c r="G6" s="913" t="s">
        <v>903</v>
      </c>
      <c r="K6" s="171"/>
    </row>
    <row r="7" spans="1:11" ht="19.5" customHeight="1" x14ac:dyDescent="0.2">
      <c r="A7" s="1611"/>
      <c r="B7" s="1612"/>
      <c r="C7" s="900" t="s">
        <v>902</v>
      </c>
      <c r="D7" s="536">
        <f>233156*5.86*241/100000</f>
        <v>3292.7689256000008</v>
      </c>
      <c r="E7" s="912">
        <f>233156*0.65*241/100000</f>
        <v>365.23887400000001</v>
      </c>
      <c r="F7" s="905">
        <f>D7+E7</f>
        <v>3658.0077996000009</v>
      </c>
      <c r="G7" s="914" t="s">
        <v>904</v>
      </c>
    </row>
    <row r="8" spans="1:11" ht="19.5" customHeight="1" x14ac:dyDescent="0.2">
      <c r="A8" s="889">
        <v>2</v>
      </c>
      <c r="B8" s="901" t="s">
        <v>580</v>
      </c>
      <c r="C8" s="892" t="s">
        <v>630</v>
      </c>
      <c r="D8" s="536">
        <v>0</v>
      </c>
      <c r="E8" s="912">
        <v>0</v>
      </c>
      <c r="F8" s="905">
        <f>D8+E8</f>
        <v>0</v>
      </c>
      <c r="G8" s="914"/>
    </row>
    <row r="9" spans="1:11" ht="19.5" customHeight="1" x14ac:dyDescent="0.2">
      <c r="A9" s="1611">
        <v>3</v>
      </c>
      <c r="B9" s="1619" t="s">
        <v>415</v>
      </c>
      <c r="C9" s="900" t="s">
        <v>1072</v>
      </c>
      <c r="D9" s="536">
        <f>8067.48*10*251.65/100000</f>
        <v>203.01813419999999</v>
      </c>
      <c r="E9" s="915">
        <v>0</v>
      </c>
      <c r="F9" s="536">
        <f t="shared" ref="F9:F14" si="0">SUM(D9:E9)</f>
        <v>203.01813419999999</v>
      </c>
      <c r="G9" s="1620" t="s">
        <v>1134</v>
      </c>
    </row>
    <row r="10" spans="1:11" ht="19.5" customHeight="1" x14ac:dyDescent="0.2">
      <c r="A10" s="1611"/>
      <c r="B10" s="1619"/>
      <c r="C10" s="900" t="s">
        <v>1073</v>
      </c>
      <c r="D10" s="536">
        <f>8428.59*251.65*10/100000</f>
        <v>212.10546735</v>
      </c>
      <c r="E10" s="915">
        <v>0</v>
      </c>
      <c r="F10" s="536">
        <f t="shared" si="0"/>
        <v>212.10546735</v>
      </c>
      <c r="G10" s="1620"/>
    </row>
    <row r="11" spans="1:11" ht="19.5" customHeight="1" x14ac:dyDescent="0.2">
      <c r="A11" s="889">
        <v>4</v>
      </c>
      <c r="B11" s="894" t="s">
        <v>636</v>
      </c>
      <c r="C11" s="900" t="s">
        <v>634</v>
      </c>
      <c r="D11" s="536">
        <v>0</v>
      </c>
      <c r="E11" s="915">
        <v>10</v>
      </c>
      <c r="F11" s="536">
        <f t="shared" si="0"/>
        <v>10</v>
      </c>
      <c r="G11" s="923" t="s">
        <v>635</v>
      </c>
    </row>
    <row r="12" spans="1:11" ht="15.75" customHeight="1" x14ac:dyDescent="0.2">
      <c r="A12" s="1611">
        <v>5</v>
      </c>
      <c r="B12" s="1612" t="s">
        <v>138</v>
      </c>
      <c r="C12" s="900" t="s">
        <v>416</v>
      </c>
      <c r="D12" s="536">
        <f>2.7/100*(D6+D9+D14+D24)</f>
        <v>142.97595846840002</v>
      </c>
      <c r="E12" s="915">
        <v>0</v>
      </c>
      <c r="F12" s="536">
        <f t="shared" si="0"/>
        <v>142.97595846840002</v>
      </c>
      <c r="G12" s="1618" t="s">
        <v>1104</v>
      </c>
    </row>
    <row r="13" spans="1:11" ht="15.75" customHeight="1" x14ac:dyDescent="0.2">
      <c r="A13" s="1611"/>
      <c r="B13" s="1612"/>
      <c r="C13" s="900" t="s">
        <v>418</v>
      </c>
      <c r="D13" s="536">
        <f>2.7/100*(D7+D10+D15+D25)</f>
        <v>126.92574545715003</v>
      </c>
      <c r="E13" s="915">
        <v>0</v>
      </c>
      <c r="F13" s="536">
        <f t="shared" si="0"/>
        <v>126.92574545715003</v>
      </c>
      <c r="G13" s="1618"/>
    </row>
    <row r="14" spans="1:11" ht="15.75" customHeight="1" x14ac:dyDescent="0.2">
      <c r="A14" s="1611">
        <v>6</v>
      </c>
      <c r="B14" s="1612" t="s">
        <v>457</v>
      </c>
      <c r="C14" s="900" t="s">
        <v>1075</v>
      </c>
      <c r="D14" s="536">
        <f>18777*10*900/100000</f>
        <v>1689.93</v>
      </c>
      <c r="E14" s="915">
        <f>18777*10*1100/100000</f>
        <v>2065.4699999999998</v>
      </c>
      <c r="F14" s="536">
        <f t="shared" si="0"/>
        <v>3755.3999999999996</v>
      </c>
      <c r="G14" s="1618" t="s">
        <v>693</v>
      </c>
    </row>
    <row r="15" spans="1:11" ht="15.75" customHeight="1" x14ac:dyDescent="0.2">
      <c r="A15" s="1611"/>
      <c r="B15" s="1612"/>
      <c r="C15" s="900" t="s">
        <v>1076</v>
      </c>
      <c r="D15" s="536">
        <f>10410*10*900/100000</f>
        <v>936.9</v>
      </c>
      <c r="E15" s="915">
        <f>10410*10*1100/100000</f>
        <v>1145.0999999999999</v>
      </c>
      <c r="F15" s="536">
        <f t="shared" ref="F15:F26" si="1">SUM(D15:E15)</f>
        <v>2082</v>
      </c>
      <c r="G15" s="1618"/>
    </row>
    <row r="16" spans="1:11" ht="15.75" customHeight="1" x14ac:dyDescent="0.2">
      <c r="A16" s="1611">
        <v>7</v>
      </c>
      <c r="B16" s="1612" t="s">
        <v>631</v>
      </c>
      <c r="C16" s="900" t="s">
        <v>1075</v>
      </c>
      <c r="D16" s="904">
        <v>0</v>
      </c>
      <c r="E16" s="915">
        <f>18777*1*2000/100000</f>
        <v>375.54</v>
      </c>
      <c r="F16" s="536">
        <f t="shared" si="1"/>
        <v>375.54</v>
      </c>
      <c r="G16" s="1618" t="s">
        <v>694</v>
      </c>
    </row>
    <row r="17" spans="1:11" ht="15.75" customHeight="1" x14ac:dyDescent="0.2">
      <c r="A17" s="1611"/>
      <c r="B17" s="1612"/>
      <c r="C17" s="900" t="s">
        <v>1076</v>
      </c>
      <c r="D17" s="904">
        <v>0</v>
      </c>
      <c r="E17" s="915">
        <f>10410*1*2000/100000</f>
        <v>208.2</v>
      </c>
      <c r="F17" s="536">
        <f t="shared" si="1"/>
        <v>208.2</v>
      </c>
      <c r="G17" s="1618"/>
    </row>
    <row r="18" spans="1:11" s="537" customFormat="1" ht="19.5" customHeight="1" x14ac:dyDescent="0.2">
      <c r="A18" s="1616">
        <v>8</v>
      </c>
      <c r="B18" s="1612" t="s">
        <v>633</v>
      </c>
      <c r="C18" s="900" t="s">
        <v>1075</v>
      </c>
      <c r="D18" s="904">
        <v>0</v>
      </c>
      <c r="E18" s="915">
        <f>18777*1*1000/100000</f>
        <v>187.77</v>
      </c>
      <c r="F18" s="536">
        <f t="shared" si="1"/>
        <v>187.77</v>
      </c>
      <c r="G18" s="1618" t="s">
        <v>632</v>
      </c>
      <c r="I18" s="55">
        <v>18777</v>
      </c>
    </row>
    <row r="19" spans="1:11" s="537" customFormat="1" ht="19.5" customHeight="1" x14ac:dyDescent="0.2">
      <c r="A19" s="1616"/>
      <c r="B19" s="1612"/>
      <c r="C19" s="900" t="s">
        <v>1076</v>
      </c>
      <c r="D19" s="904">
        <v>0</v>
      </c>
      <c r="E19" s="915">
        <f>10410*1*1000/100000</f>
        <v>104.1</v>
      </c>
      <c r="F19" s="536">
        <f t="shared" si="1"/>
        <v>104.1</v>
      </c>
      <c r="G19" s="1618"/>
      <c r="I19" s="55">
        <v>10410</v>
      </c>
    </row>
    <row r="20" spans="1:11" s="537" customFormat="1" ht="19.5" customHeight="1" x14ac:dyDescent="0.2">
      <c r="A20" s="1616">
        <v>9</v>
      </c>
      <c r="B20" s="1617" t="s">
        <v>702</v>
      </c>
      <c r="C20" s="900" t="s">
        <v>1075</v>
      </c>
      <c r="D20" s="904">
        <v>0</v>
      </c>
      <c r="E20" s="916">
        <f>18777*1000*0.00001</f>
        <v>187.77</v>
      </c>
      <c r="F20" s="904">
        <f t="shared" si="1"/>
        <v>187.77</v>
      </c>
      <c r="G20" s="1618" t="s">
        <v>703</v>
      </c>
      <c r="I20" s="55"/>
    </row>
    <row r="21" spans="1:11" s="537" customFormat="1" ht="19.5" customHeight="1" x14ac:dyDescent="0.2">
      <c r="A21" s="1616"/>
      <c r="B21" s="1617"/>
      <c r="C21" s="900" t="s">
        <v>1076</v>
      </c>
      <c r="D21" s="904">
        <v>0</v>
      </c>
      <c r="E21" s="916">
        <f>10410*1000*0.00001</f>
        <v>104.10000000000001</v>
      </c>
      <c r="F21" s="904">
        <f t="shared" si="1"/>
        <v>104.10000000000001</v>
      </c>
      <c r="G21" s="1618"/>
      <c r="I21" s="55"/>
    </row>
    <row r="22" spans="1:11" s="537" customFormat="1" ht="19.5" customHeight="1" x14ac:dyDescent="0.2">
      <c r="A22" s="1616">
        <v>10</v>
      </c>
      <c r="B22" s="1612" t="s">
        <v>701</v>
      </c>
      <c r="C22" s="900" t="s">
        <v>901</v>
      </c>
      <c r="D22" s="904">
        <v>0</v>
      </c>
      <c r="E22" s="916">
        <f>334750*40*5*0.00001</f>
        <v>669.5</v>
      </c>
      <c r="F22" s="904">
        <f t="shared" si="1"/>
        <v>669.5</v>
      </c>
      <c r="G22" s="1618" t="s">
        <v>704</v>
      </c>
      <c r="I22" s="55"/>
    </row>
    <row r="23" spans="1:11" s="537" customFormat="1" ht="19.5" customHeight="1" x14ac:dyDescent="0.2">
      <c r="A23" s="1616"/>
      <c r="B23" s="1612"/>
      <c r="C23" s="900" t="s">
        <v>902</v>
      </c>
      <c r="D23" s="904">
        <v>0</v>
      </c>
      <c r="E23" s="916">
        <f>233156*40*5*0.00001</f>
        <v>466.31200000000001</v>
      </c>
      <c r="F23" s="904">
        <f t="shared" si="1"/>
        <v>466.31200000000001</v>
      </c>
      <c r="G23" s="1618"/>
      <c r="I23" s="55"/>
    </row>
    <row r="24" spans="1:11" ht="19.5" customHeight="1" x14ac:dyDescent="0.2">
      <c r="A24" s="1611">
        <v>11</v>
      </c>
      <c r="B24" s="1612" t="s">
        <v>420</v>
      </c>
      <c r="C24" s="900" t="s">
        <v>416</v>
      </c>
      <c r="D24" s="904">
        <f>(8067.48*3000*0.00001)+2.5%*(8067.48*3000*0.00001)</f>
        <v>248.07501000000002</v>
      </c>
      <c r="E24" s="916">
        <v>0</v>
      </c>
      <c r="F24" s="904">
        <f t="shared" si="1"/>
        <v>248.07501000000002</v>
      </c>
      <c r="G24" s="924" t="s">
        <v>784</v>
      </c>
      <c r="H24" s="537"/>
    </row>
    <row r="25" spans="1:11" ht="19.5" customHeight="1" x14ac:dyDescent="0.2">
      <c r="A25" s="1611"/>
      <c r="B25" s="1612"/>
      <c r="C25" s="900" t="s">
        <v>418</v>
      </c>
      <c r="D25" s="904">
        <f>(8428.59*3000*0.00001)+2.5%*(8428.59*3000*0.00001)</f>
        <v>259.17914250000001</v>
      </c>
      <c r="E25" s="916">
        <v>0</v>
      </c>
      <c r="F25" s="904">
        <f t="shared" si="1"/>
        <v>259.17914250000001</v>
      </c>
      <c r="G25" s="924" t="s">
        <v>784</v>
      </c>
      <c r="H25" s="537"/>
      <c r="I25" s="537"/>
    </row>
    <row r="26" spans="1:11" ht="19.5" customHeight="1" thickBot="1" x14ac:dyDescent="0.25">
      <c r="A26" s="890">
        <v>12</v>
      </c>
      <c r="B26" s="895" t="s">
        <v>421</v>
      </c>
      <c r="C26" s="900"/>
      <c r="D26" s="536">
        <v>0</v>
      </c>
      <c r="E26" s="915">
        <v>40</v>
      </c>
      <c r="F26" s="536">
        <f t="shared" si="1"/>
        <v>40</v>
      </c>
      <c r="G26" s="917" t="s">
        <v>429</v>
      </c>
    </row>
    <row r="27" spans="1:11" ht="19.5" customHeight="1" thickBot="1" x14ac:dyDescent="0.25">
      <c r="A27" s="934" t="s">
        <v>1112</v>
      </c>
      <c r="B27" s="935" t="s">
        <v>18</v>
      </c>
      <c r="C27" s="936"/>
      <c r="D27" s="937">
        <f>D6+D7+D8+D9+D10+D11+D12+D13+D14+D15+D16+D17+D18+D19+D20+D21+D22+D23+D24+D25+D26</f>
        <v>10266.261108575549</v>
      </c>
      <c r="E27" s="938">
        <f t="shared" ref="E27:F27" si="2">E6+E7+E8+E9+E10+E11+E12+E13+E14+E15+E16+E17+E18+E19+E20+E21+E22+E23+E24+E25+E26</f>
        <v>6284.0697740000014</v>
      </c>
      <c r="F27" s="937">
        <f t="shared" si="2"/>
        <v>16550.330882575552</v>
      </c>
      <c r="G27" s="939"/>
    </row>
    <row r="28" spans="1:11" ht="9.75" customHeight="1" x14ac:dyDescent="0.2"/>
    <row r="29" spans="1:11" ht="19.5" customHeight="1" thickBot="1" x14ac:dyDescent="0.25">
      <c r="A29" s="1613" t="s">
        <v>1111</v>
      </c>
      <c r="B29" s="1613"/>
      <c r="C29" s="1613"/>
      <c r="D29" s="1613"/>
      <c r="E29" s="1613"/>
      <c r="F29" s="1613"/>
      <c r="G29" s="929"/>
      <c r="K29" s="231"/>
    </row>
    <row r="30" spans="1:11" ht="29.25" customHeight="1" x14ac:dyDescent="0.2">
      <c r="A30" s="891">
        <v>1</v>
      </c>
      <c r="B30" s="729" t="s">
        <v>413</v>
      </c>
      <c r="C30" s="949" t="s">
        <v>1117</v>
      </c>
      <c r="D30" s="912">
        <v>141.97</v>
      </c>
      <c r="E30" s="905">
        <v>15.77</v>
      </c>
      <c r="F30" s="912">
        <f t="shared" ref="F30" si="3">SUM(D30:E30)</f>
        <v>157.74</v>
      </c>
      <c r="G30" s="928" t="s">
        <v>1069</v>
      </c>
      <c r="I30" s="873">
        <f>347250*100*241*0.000001</f>
        <v>8368.7250000000004</v>
      </c>
    </row>
    <row r="31" spans="1:11" ht="29.25" customHeight="1" x14ac:dyDescent="0.2">
      <c r="A31" s="898">
        <v>2</v>
      </c>
      <c r="B31" s="894" t="s">
        <v>1038</v>
      </c>
      <c r="C31" s="950" t="s">
        <v>1106</v>
      </c>
      <c r="D31" s="905">
        <f>F31*90%</f>
        <v>430.92</v>
      </c>
      <c r="E31" s="905">
        <f>F31*10%</f>
        <v>47.88</v>
      </c>
      <c r="F31" s="910">
        <v>478.8</v>
      </c>
      <c r="G31" s="897" t="s">
        <v>1103</v>
      </c>
      <c r="I31" s="873"/>
    </row>
    <row r="32" spans="1:11" ht="27" customHeight="1" x14ac:dyDescent="0.2">
      <c r="A32" s="898">
        <v>3</v>
      </c>
      <c r="B32" s="901" t="s">
        <v>578</v>
      </c>
      <c r="C32" s="909" t="s">
        <v>1118</v>
      </c>
      <c r="D32" s="536">
        <v>5.81</v>
      </c>
      <c r="E32" s="915">
        <v>0.65</v>
      </c>
      <c r="F32" s="536">
        <f t="shared" ref="F32" si="4">SUM(D32:E32)</f>
        <v>6.46</v>
      </c>
      <c r="G32" s="1614" t="s">
        <v>1070</v>
      </c>
    </row>
    <row r="33" spans="1:7" ht="41.25" customHeight="1" thickBot="1" x14ac:dyDescent="0.25">
      <c r="A33" s="926">
        <v>4</v>
      </c>
      <c r="B33" s="918" t="s">
        <v>579</v>
      </c>
      <c r="C33" s="892" t="s">
        <v>1071</v>
      </c>
      <c r="D33" s="905">
        <f>((7296*9000*0.00001)+(2594*13500*0.00001)+(391*18000*0.00001)+(113*22500*0.00001))</f>
        <v>1102.6350000000002</v>
      </c>
      <c r="E33" s="912">
        <f>((7296*1000*0.00001)+(2594*1500*0.00001)+(391*2000*0.00001)+(113*2500*0.00001))</f>
        <v>122.515</v>
      </c>
      <c r="F33" s="536">
        <f t="shared" ref="F33" si="5">SUM(D33:E33)</f>
        <v>1225.1500000000003</v>
      </c>
      <c r="G33" s="1615"/>
    </row>
    <row r="34" spans="1:7" ht="19.5" customHeight="1" thickBot="1" x14ac:dyDescent="0.25">
      <c r="A34" s="940" t="s">
        <v>1113</v>
      </c>
      <c r="B34" s="941" t="s">
        <v>18</v>
      </c>
      <c r="C34" s="941"/>
      <c r="D34" s="942">
        <f>D30+D31+D32+D33</f>
        <v>1681.335</v>
      </c>
      <c r="E34" s="942">
        <f>E30+E31+E32+E33</f>
        <v>186.815</v>
      </c>
      <c r="F34" s="942">
        <f>F30+F31+F32+F33</f>
        <v>1868.1500000000003</v>
      </c>
      <c r="G34" s="943"/>
    </row>
    <row r="35" spans="1:7" ht="33" customHeight="1" thickBot="1" x14ac:dyDescent="0.25">
      <c r="A35" s="930">
        <v>1</v>
      </c>
      <c r="B35" s="931" t="s">
        <v>860</v>
      </c>
      <c r="C35" s="932" t="s">
        <v>634</v>
      </c>
      <c r="D35" s="933">
        <f>(D6+D7+D9+D10+D11+D12+D13+D14+D15+D24+D25)*5%</f>
        <v>513.31305542877749</v>
      </c>
      <c r="E35" s="933">
        <v>0</v>
      </c>
      <c r="F35" s="933">
        <f>SUM(D35:E35)</f>
        <v>513.31305542877749</v>
      </c>
      <c r="G35" s="931" t="s">
        <v>1083</v>
      </c>
    </row>
    <row r="36" spans="1:7" ht="19.5" customHeight="1" thickBot="1" x14ac:dyDescent="0.25">
      <c r="A36" s="944" t="s">
        <v>1114</v>
      </c>
      <c r="B36" s="941" t="s">
        <v>18</v>
      </c>
      <c r="C36" s="941"/>
      <c r="D36" s="942">
        <f>D35</f>
        <v>513.31305542877749</v>
      </c>
      <c r="E36" s="942">
        <f t="shared" ref="E36:F36" si="6">E35</f>
        <v>0</v>
      </c>
      <c r="F36" s="942">
        <f t="shared" si="6"/>
        <v>513.31305542877749</v>
      </c>
      <c r="G36" s="943"/>
    </row>
    <row r="37" spans="1:7" ht="19.5" customHeight="1" thickBot="1" x14ac:dyDescent="0.25">
      <c r="A37" s="944"/>
      <c r="B37" s="941" t="s">
        <v>1115</v>
      </c>
      <c r="C37" s="941"/>
      <c r="D37" s="942">
        <f>D27+D34+D36</f>
        <v>12460.909164004326</v>
      </c>
      <c r="E37" s="942">
        <f>E27+E34+E36</f>
        <v>6470.884774000001</v>
      </c>
      <c r="F37" s="942">
        <f>F27+F34+F36</f>
        <v>18931.793938004332</v>
      </c>
      <c r="G37" s="943"/>
    </row>
    <row r="38" spans="1:7" ht="19.5" customHeight="1" x14ac:dyDescent="0.2">
      <c r="A38" s="64" t="s">
        <v>1077</v>
      </c>
      <c r="E38" s="538"/>
    </row>
    <row r="39" spans="1:7" x14ac:dyDescent="0.2">
      <c r="A39" s="1576"/>
      <c r="B39" s="1576"/>
      <c r="E39" s="538"/>
    </row>
    <row r="42" spans="1:7" x14ac:dyDescent="0.2">
      <c r="F42" s="538"/>
    </row>
    <row r="46" spans="1:7" x14ac:dyDescent="0.2">
      <c r="F46" s="538"/>
    </row>
  </sheetData>
  <mergeCells count="31">
    <mergeCell ref="A9:A10"/>
    <mergeCell ref="B9:B10"/>
    <mergeCell ref="G9:G10"/>
    <mergeCell ref="A1:G1"/>
    <mergeCell ref="A2:G2"/>
    <mergeCell ref="A5:F5"/>
    <mergeCell ref="A6:A7"/>
    <mergeCell ref="B6:B7"/>
    <mergeCell ref="A12:A13"/>
    <mergeCell ref="B12:B13"/>
    <mergeCell ref="G12:G13"/>
    <mergeCell ref="A14:A15"/>
    <mergeCell ref="B14:B15"/>
    <mergeCell ref="G14:G15"/>
    <mergeCell ref="A16:A17"/>
    <mergeCell ref="B16:B17"/>
    <mergeCell ref="G16:G17"/>
    <mergeCell ref="A18:A19"/>
    <mergeCell ref="B18:B19"/>
    <mergeCell ref="G18:G19"/>
    <mergeCell ref="A20:A21"/>
    <mergeCell ref="B20:B21"/>
    <mergeCell ref="G20:G21"/>
    <mergeCell ref="A22:A23"/>
    <mergeCell ref="B22:B23"/>
    <mergeCell ref="G22:G23"/>
    <mergeCell ref="A24:A25"/>
    <mergeCell ref="B24:B25"/>
    <mergeCell ref="A29:F29"/>
    <mergeCell ref="G32:G33"/>
    <mergeCell ref="A39:B39"/>
  </mergeCells>
  <pageMargins left="0.43307086614173229" right="0.23622047244094491" top="0.23622047244094491" bottom="0.27559055118110237" header="0.15748031496062992" footer="0.15748031496062992"/>
  <pageSetup paperSize="9" scale="74"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rgb="FFFFFF00"/>
  </sheetPr>
  <dimension ref="A1:K46"/>
  <sheetViews>
    <sheetView view="pageBreakPreview" topLeftCell="A5" zoomScaleNormal="80" zoomScaleSheetLayoutView="100" workbookViewId="0">
      <selection activeCell="G9" sqref="G9:G10"/>
    </sheetView>
  </sheetViews>
  <sheetFormatPr defaultRowHeight="12.75" x14ac:dyDescent="0.2"/>
  <cols>
    <col min="1" max="1" width="12" style="55" customWidth="1"/>
    <col min="2" max="2" width="34.85546875" style="55" customWidth="1"/>
    <col min="3" max="3" width="27.5703125" style="55" customWidth="1"/>
    <col min="4" max="6" width="19.85546875" style="55" customWidth="1"/>
    <col min="7" max="7" width="53.28515625" style="55" customWidth="1"/>
    <col min="8" max="8" width="10" style="55" bestFit="1" customWidth="1"/>
    <col min="9" max="9" width="11" style="55" bestFit="1" customWidth="1"/>
    <col min="10" max="10" width="9.140625" style="55"/>
    <col min="11" max="11" width="9.5703125" style="55" bestFit="1" customWidth="1"/>
    <col min="12" max="16384" width="9.140625" style="55"/>
  </cols>
  <sheetData>
    <row r="1" spans="1:11" ht="18" x14ac:dyDescent="0.25">
      <c r="A1" s="1622" t="s">
        <v>899</v>
      </c>
      <c r="B1" s="1622"/>
      <c r="C1" s="1622"/>
      <c r="D1" s="1622"/>
      <c r="E1" s="1622"/>
      <c r="F1" s="1622"/>
      <c r="G1" s="1622"/>
    </row>
    <row r="2" spans="1:11" ht="18" x14ac:dyDescent="0.25">
      <c r="A2" s="1622" t="s">
        <v>1078</v>
      </c>
      <c r="B2" s="1622"/>
      <c r="C2" s="1622"/>
      <c r="D2" s="1622"/>
      <c r="E2" s="1622"/>
      <c r="F2" s="1622"/>
      <c r="G2" s="1622"/>
    </row>
    <row r="3" spans="1:11" ht="18.75" thickBot="1" x14ac:dyDescent="0.3">
      <c r="A3" s="59" t="s">
        <v>404</v>
      </c>
      <c r="B3" s="888"/>
      <c r="C3" s="888"/>
      <c r="D3" s="888"/>
      <c r="E3" s="888"/>
      <c r="F3" s="888"/>
      <c r="G3" s="888" t="s">
        <v>405</v>
      </c>
    </row>
    <row r="4" spans="1:11" ht="13.5" thickBot="1" x14ac:dyDescent="0.25">
      <c r="A4" s="935" t="s">
        <v>406</v>
      </c>
      <c r="B4" s="936" t="s">
        <v>407</v>
      </c>
      <c r="C4" s="945" t="s">
        <v>408</v>
      </c>
      <c r="D4" s="946" t="s">
        <v>409</v>
      </c>
      <c r="E4" s="947" t="s">
        <v>410</v>
      </c>
      <c r="F4" s="948" t="s">
        <v>18</v>
      </c>
      <c r="G4" s="945" t="s">
        <v>411</v>
      </c>
      <c r="K4" s="231"/>
    </row>
    <row r="5" spans="1:11" ht="19.5" customHeight="1" thickBot="1" x14ac:dyDescent="0.25">
      <c r="A5" s="1623" t="s">
        <v>255</v>
      </c>
      <c r="B5" s="1624"/>
      <c r="C5" s="1624"/>
      <c r="D5" s="1624"/>
      <c r="E5" s="1624"/>
      <c r="F5" s="1625"/>
      <c r="G5" s="878"/>
      <c r="K5" s="231"/>
    </row>
    <row r="6" spans="1:11" ht="19.5" customHeight="1" x14ac:dyDescent="0.2">
      <c r="A6" s="1626">
        <v>1</v>
      </c>
      <c r="B6" s="1627" t="s">
        <v>412</v>
      </c>
      <c r="C6" s="899" t="s">
        <v>1079</v>
      </c>
      <c r="D6" s="730">
        <f>347250*241*3.91/100000</f>
        <v>3272.1714750000001</v>
      </c>
      <c r="E6" s="922">
        <f>347250*241*0.44/100000</f>
        <v>368.22390000000001</v>
      </c>
      <c r="F6" s="730">
        <f>D6+E6</f>
        <v>3640.3953750000001</v>
      </c>
      <c r="G6" s="913" t="s">
        <v>903</v>
      </c>
      <c r="K6" s="171"/>
    </row>
    <row r="7" spans="1:11" ht="19.5" customHeight="1" x14ac:dyDescent="0.2">
      <c r="A7" s="1611"/>
      <c r="B7" s="1612"/>
      <c r="C7" s="900" t="s">
        <v>1080</v>
      </c>
      <c r="D7" s="536">
        <f>247982*5.86*241/100000</f>
        <v>3502.1505932</v>
      </c>
      <c r="E7" s="915">
        <f>247982*0.65*241/100000</f>
        <v>388.46380300000004</v>
      </c>
      <c r="F7" s="536">
        <f>D7+E7</f>
        <v>3890.6143962000001</v>
      </c>
      <c r="G7" s="914" t="s">
        <v>904</v>
      </c>
    </row>
    <row r="8" spans="1:11" ht="19.5" customHeight="1" x14ac:dyDescent="0.2">
      <c r="A8" s="889">
        <v>2</v>
      </c>
      <c r="B8" s="901" t="s">
        <v>580</v>
      </c>
      <c r="C8" s="900" t="s">
        <v>630</v>
      </c>
      <c r="D8" s="536">
        <v>0</v>
      </c>
      <c r="E8" s="915">
        <v>0</v>
      </c>
      <c r="F8" s="536">
        <f>D8+E8</f>
        <v>0</v>
      </c>
      <c r="G8" s="914"/>
    </row>
    <row r="9" spans="1:11" ht="19.5" customHeight="1" x14ac:dyDescent="0.2">
      <c r="A9" s="1611">
        <v>3</v>
      </c>
      <c r="B9" s="1619" t="s">
        <v>415</v>
      </c>
      <c r="C9" s="900" t="s">
        <v>1081</v>
      </c>
      <c r="D9" s="536">
        <f>8368.73*10*251.65/100000</f>
        <v>210.59909044999998</v>
      </c>
      <c r="E9" s="915">
        <v>0</v>
      </c>
      <c r="F9" s="536">
        <f t="shared" ref="F9:F14" si="0">SUM(D9:E9)</f>
        <v>210.59909044999998</v>
      </c>
      <c r="G9" s="1620" t="s">
        <v>1134</v>
      </c>
    </row>
    <row r="10" spans="1:11" ht="19.5" customHeight="1" x14ac:dyDescent="0.2">
      <c r="A10" s="1611"/>
      <c r="B10" s="1619"/>
      <c r="C10" s="900" t="s">
        <v>1082</v>
      </c>
      <c r="D10" s="536">
        <f>8964.55*251.65*10/100000</f>
        <v>225.59290074999998</v>
      </c>
      <c r="E10" s="915">
        <v>0</v>
      </c>
      <c r="F10" s="536">
        <f t="shared" si="0"/>
        <v>225.59290074999998</v>
      </c>
      <c r="G10" s="1620"/>
    </row>
    <row r="11" spans="1:11" ht="19.5" customHeight="1" x14ac:dyDescent="0.2">
      <c r="A11" s="889">
        <v>4</v>
      </c>
      <c r="B11" s="894" t="s">
        <v>636</v>
      </c>
      <c r="C11" s="900" t="s">
        <v>634</v>
      </c>
      <c r="D11" s="536">
        <v>0</v>
      </c>
      <c r="E11" s="915">
        <v>10</v>
      </c>
      <c r="F11" s="536">
        <f t="shared" si="0"/>
        <v>10</v>
      </c>
      <c r="G11" s="923" t="s">
        <v>635</v>
      </c>
    </row>
    <row r="12" spans="1:11" ht="15.75" customHeight="1" x14ac:dyDescent="0.2">
      <c r="A12" s="1611">
        <v>5</v>
      </c>
      <c r="B12" s="1612" t="s">
        <v>138</v>
      </c>
      <c r="C12" s="900" t="s">
        <v>416</v>
      </c>
      <c r="D12" s="536">
        <f>2.7/100*(D6+D9+D14+D24)</f>
        <v>146.61105334965004</v>
      </c>
      <c r="E12" s="915">
        <v>0</v>
      </c>
      <c r="F12" s="536">
        <f t="shared" si="0"/>
        <v>146.61105334965004</v>
      </c>
      <c r="G12" s="1618" t="s">
        <v>1104</v>
      </c>
    </row>
    <row r="13" spans="1:11" ht="15.75" customHeight="1" x14ac:dyDescent="0.2">
      <c r="A13" s="1611"/>
      <c r="B13" s="1612"/>
      <c r="C13" s="900" t="s">
        <v>418</v>
      </c>
      <c r="D13" s="536">
        <f>2.7/100*(D7+D10+D15+D25)</f>
        <v>133.38819197415</v>
      </c>
      <c r="E13" s="915">
        <v>0</v>
      </c>
      <c r="F13" s="536">
        <f t="shared" si="0"/>
        <v>133.38819197415</v>
      </c>
      <c r="G13" s="1618"/>
    </row>
    <row r="14" spans="1:11" ht="15.75" customHeight="1" x14ac:dyDescent="0.2">
      <c r="A14" s="1611">
        <v>6</v>
      </c>
      <c r="B14" s="1612" t="s">
        <v>457</v>
      </c>
      <c r="C14" s="900" t="s">
        <v>1075</v>
      </c>
      <c r="D14" s="536">
        <f>18777*10*900/100000</f>
        <v>1689.93</v>
      </c>
      <c r="E14" s="915">
        <f>18777*10*1100/100000</f>
        <v>2065.4699999999998</v>
      </c>
      <c r="F14" s="536">
        <f t="shared" si="0"/>
        <v>3755.3999999999996</v>
      </c>
      <c r="G14" s="1618" t="s">
        <v>693</v>
      </c>
    </row>
    <row r="15" spans="1:11" ht="15.75" customHeight="1" x14ac:dyDescent="0.2">
      <c r="A15" s="1611"/>
      <c r="B15" s="1612"/>
      <c r="C15" s="900" t="s">
        <v>1076</v>
      </c>
      <c r="D15" s="536">
        <f>10410*10*900/100000</f>
        <v>936.9</v>
      </c>
      <c r="E15" s="915">
        <f>10410*10*1100/100000</f>
        <v>1145.0999999999999</v>
      </c>
      <c r="F15" s="536">
        <f t="shared" ref="F15:F26" si="1">SUM(D15:E15)</f>
        <v>2082</v>
      </c>
      <c r="G15" s="1618"/>
    </row>
    <row r="16" spans="1:11" ht="15.75" customHeight="1" x14ac:dyDescent="0.2">
      <c r="A16" s="1611">
        <v>7</v>
      </c>
      <c r="B16" s="1612" t="s">
        <v>631</v>
      </c>
      <c r="C16" s="900" t="s">
        <v>1075</v>
      </c>
      <c r="D16" s="536">
        <v>0</v>
      </c>
      <c r="E16" s="915">
        <f>18777*1*2000/100000</f>
        <v>375.54</v>
      </c>
      <c r="F16" s="536">
        <f t="shared" si="1"/>
        <v>375.54</v>
      </c>
      <c r="G16" s="1618" t="s">
        <v>694</v>
      </c>
    </row>
    <row r="17" spans="1:11" ht="15.75" customHeight="1" x14ac:dyDescent="0.2">
      <c r="A17" s="1611"/>
      <c r="B17" s="1612"/>
      <c r="C17" s="900" t="s">
        <v>1076</v>
      </c>
      <c r="D17" s="536">
        <v>0</v>
      </c>
      <c r="E17" s="915">
        <f>10410*1*2000/100000</f>
        <v>208.2</v>
      </c>
      <c r="F17" s="536">
        <f t="shared" si="1"/>
        <v>208.2</v>
      </c>
      <c r="G17" s="1618"/>
    </row>
    <row r="18" spans="1:11" s="537" customFormat="1" ht="19.5" customHeight="1" x14ac:dyDescent="0.2">
      <c r="A18" s="1616">
        <v>8</v>
      </c>
      <c r="B18" s="1612" t="s">
        <v>633</v>
      </c>
      <c r="C18" s="900" t="s">
        <v>1075</v>
      </c>
      <c r="D18" s="536">
        <v>0</v>
      </c>
      <c r="E18" s="915">
        <f>18777*1*1000/100000</f>
        <v>187.77</v>
      </c>
      <c r="F18" s="536">
        <f t="shared" si="1"/>
        <v>187.77</v>
      </c>
      <c r="G18" s="1618" t="s">
        <v>632</v>
      </c>
      <c r="I18" s="55">
        <v>18777</v>
      </c>
    </row>
    <row r="19" spans="1:11" s="537" customFormat="1" ht="19.5" customHeight="1" x14ac:dyDescent="0.2">
      <c r="A19" s="1616"/>
      <c r="B19" s="1612"/>
      <c r="C19" s="900" t="s">
        <v>1076</v>
      </c>
      <c r="D19" s="536">
        <v>0</v>
      </c>
      <c r="E19" s="915">
        <f>10410*1*1000/100000</f>
        <v>104.1</v>
      </c>
      <c r="F19" s="536">
        <f t="shared" si="1"/>
        <v>104.1</v>
      </c>
      <c r="G19" s="1618"/>
      <c r="I19" s="55">
        <v>10410</v>
      </c>
    </row>
    <row r="20" spans="1:11" s="537" customFormat="1" ht="19.5" customHeight="1" x14ac:dyDescent="0.2">
      <c r="A20" s="1616">
        <v>9</v>
      </c>
      <c r="B20" s="1617" t="s">
        <v>702</v>
      </c>
      <c r="C20" s="900" t="s">
        <v>1075</v>
      </c>
      <c r="D20" s="536">
        <v>0</v>
      </c>
      <c r="E20" s="915">
        <f>18777*1000*0.00001</f>
        <v>187.77</v>
      </c>
      <c r="F20" s="536">
        <f t="shared" si="1"/>
        <v>187.77</v>
      </c>
      <c r="G20" s="1618" t="s">
        <v>703</v>
      </c>
      <c r="I20" s="55"/>
    </row>
    <row r="21" spans="1:11" s="537" customFormat="1" ht="19.5" customHeight="1" x14ac:dyDescent="0.2">
      <c r="A21" s="1616"/>
      <c r="B21" s="1617"/>
      <c r="C21" s="900" t="s">
        <v>1076</v>
      </c>
      <c r="D21" s="536">
        <v>0</v>
      </c>
      <c r="E21" s="915">
        <f>10410*1000*0.00001</f>
        <v>104.10000000000001</v>
      </c>
      <c r="F21" s="536">
        <f t="shared" si="1"/>
        <v>104.10000000000001</v>
      </c>
      <c r="G21" s="1618"/>
      <c r="I21" s="55"/>
    </row>
    <row r="22" spans="1:11" s="537" customFormat="1" ht="19.5" customHeight="1" x14ac:dyDescent="0.2">
      <c r="A22" s="1616">
        <v>10</v>
      </c>
      <c r="B22" s="1612" t="s">
        <v>701</v>
      </c>
      <c r="C22" s="900" t="s">
        <v>1079</v>
      </c>
      <c r="D22" s="536">
        <v>0</v>
      </c>
      <c r="E22" s="915">
        <f>347250*40*5*0.00001</f>
        <v>694.5</v>
      </c>
      <c r="F22" s="536">
        <f t="shared" si="1"/>
        <v>694.5</v>
      </c>
      <c r="G22" s="1618" t="s">
        <v>704</v>
      </c>
      <c r="I22" s="55"/>
    </row>
    <row r="23" spans="1:11" s="537" customFormat="1" ht="19.5" customHeight="1" x14ac:dyDescent="0.2">
      <c r="A23" s="1616"/>
      <c r="B23" s="1612"/>
      <c r="C23" s="900" t="s">
        <v>1080</v>
      </c>
      <c r="D23" s="536">
        <v>0</v>
      </c>
      <c r="E23" s="915">
        <f>247982*40*5*0.00001</f>
        <v>495.96400000000006</v>
      </c>
      <c r="F23" s="536">
        <f t="shared" si="1"/>
        <v>495.96400000000006</v>
      </c>
      <c r="G23" s="1618"/>
      <c r="I23" s="55"/>
    </row>
    <row r="24" spans="1:11" ht="19.5" customHeight="1" x14ac:dyDescent="0.2">
      <c r="A24" s="1611">
        <v>11</v>
      </c>
      <c r="B24" s="1612" t="s">
        <v>420</v>
      </c>
      <c r="C24" s="900" t="s">
        <v>416</v>
      </c>
      <c r="D24" s="536">
        <f>(8368.73*3000*0.00001)+2.5%*(8368.73*3000*0.00001)</f>
        <v>257.33844750000003</v>
      </c>
      <c r="E24" s="915">
        <v>0</v>
      </c>
      <c r="F24" s="536">
        <f t="shared" si="1"/>
        <v>257.33844750000003</v>
      </c>
      <c r="G24" s="924" t="s">
        <v>784</v>
      </c>
      <c r="H24" s="537"/>
    </row>
    <row r="25" spans="1:11" ht="19.5" customHeight="1" x14ac:dyDescent="0.2">
      <c r="A25" s="1611"/>
      <c r="B25" s="1612"/>
      <c r="C25" s="900" t="s">
        <v>418</v>
      </c>
      <c r="D25" s="536">
        <f>(8964.55*3000*0.00001)+2.5%*(8964.55*3000*0.00001)</f>
        <v>275.65991249999996</v>
      </c>
      <c r="E25" s="915">
        <v>0</v>
      </c>
      <c r="F25" s="536">
        <f t="shared" si="1"/>
        <v>275.65991249999996</v>
      </c>
      <c r="G25" s="924" t="s">
        <v>784</v>
      </c>
      <c r="H25" s="537"/>
      <c r="I25" s="537"/>
    </row>
    <row r="26" spans="1:11" ht="19.5" customHeight="1" thickBot="1" x14ac:dyDescent="0.25">
      <c r="A26" s="890">
        <v>12</v>
      </c>
      <c r="B26" s="895" t="s">
        <v>421</v>
      </c>
      <c r="C26" s="892"/>
      <c r="D26" s="904">
        <v>0</v>
      </c>
      <c r="E26" s="916">
        <v>40</v>
      </c>
      <c r="F26" s="904">
        <f t="shared" si="1"/>
        <v>40</v>
      </c>
      <c r="G26" s="917" t="s">
        <v>429</v>
      </c>
    </row>
    <row r="27" spans="1:11" ht="19.5" customHeight="1" thickBot="1" x14ac:dyDescent="0.25">
      <c r="A27" s="934" t="s">
        <v>1116</v>
      </c>
      <c r="B27" s="935" t="s">
        <v>18</v>
      </c>
      <c r="C27" s="936"/>
      <c r="D27" s="937">
        <f>D6+D7+D8+D9+D10+D11+D12+D13+D14+D15+D16+D17+D18+D19+D20+D21+D22+D23+D24+D25+D26</f>
        <v>10650.341664723799</v>
      </c>
      <c r="E27" s="938">
        <f t="shared" ref="E27:F27" si="2">E6+E7+E8+E9+E10+E11+E12+E13+E14+E15+E16+E17+E18+E19+E20+E21+E22+E23+E24+E25+E26</f>
        <v>6375.2017030000015</v>
      </c>
      <c r="F27" s="937">
        <f t="shared" si="2"/>
        <v>17025.543367723803</v>
      </c>
      <c r="G27" s="939"/>
    </row>
    <row r="28" spans="1:11" ht="9.75" customHeight="1" x14ac:dyDescent="0.2"/>
    <row r="29" spans="1:11" ht="19.5" customHeight="1" thickBot="1" x14ac:dyDescent="0.25">
      <c r="A29" s="1613" t="s">
        <v>1111</v>
      </c>
      <c r="B29" s="1613"/>
      <c r="C29" s="1613"/>
      <c r="D29" s="1613"/>
      <c r="E29" s="1613"/>
      <c r="F29" s="1613"/>
      <c r="G29" s="929"/>
      <c r="K29" s="231"/>
    </row>
    <row r="30" spans="1:11" ht="29.25" customHeight="1" x14ac:dyDescent="0.2">
      <c r="A30" s="891">
        <v>1</v>
      </c>
      <c r="B30" s="893" t="s">
        <v>413</v>
      </c>
      <c r="C30" s="951" t="s">
        <v>1117</v>
      </c>
      <c r="D30" s="912">
        <v>141.97</v>
      </c>
      <c r="E30" s="952">
        <v>15.77</v>
      </c>
      <c r="F30" s="912">
        <f t="shared" ref="F30" si="3">SUM(D30:E30)</f>
        <v>157.74</v>
      </c>
      <c r="G30" s="928" t="s">
        <v>1069</v>
      </c>
      <c r="I30" s="873"/>
    </row>
    <row r="31" spans="1:11" ht="29.25" customHeight="1" x14ac:dyDescent="0.2">
      <c r="A31" s="898">
        <v>2</v>
      </c>
      <c r="B31" s="925" t="s">
        <v>1038</v>
      </c>
      <c r="C31" s="911" t="s">
        <v>1106</v>
      </c>
      <c r="D31" s="952">
        <f>F31*90%</f>
        <v>430.92</v>
      </c>
      <c r="E31" s="952">
        <f>F31*10%</f>
        <v>47.88</v>
      </c>
      <c r="F31" s="910">
        <v>478.8</v>
      </c>
      <c r="G31" s="897" t="s">
        <v>1103</v>
      </c>
      <c r="I31" s="873"/>
    </row>
    <row r="32" spans="1:11" ht="27" customHeight="1" x14ac:dyDescent="0.2">
      <c r="A32" s="898">
        <v>3</v>
      </c>
      <c r="B32" s="900" t="s">
        <v>578</v>
      </c>
      <c r="C32" s="909" t="s">
        <v>1118</v>
      </c>
      <c r="D32" s="536">
        <v>5.81</v>
      </c>
      <c r="E32" s="915">
        <v>0.65</v>
      </c>
      <c r="F32" s="536">
        <f t="shared" ref="F32" si="4">SUM(D32:E32)</f>
        <v>6.46</v>
      </c>
      <c r="G32" s="1614" t="s">
        <v>1070</v>
      </c>
    </row>
    <row r="33" spans="1:7" ht="41.25" customHeight="1" thickBot="1" x14ac:dyDescent="0.25">
      <c r="A33" s="926">
        <v>4</v>
      </c>
      <c r="B33" s="892" t="s">
        <v>579</v>
      </c>
      <c r="C33" s="918" t="s">
        <v>1071</v>
      </c>
      <c r="D33" s="916">
        <f>((7296*9000*0.00001)+(2594*13500*0.00001)+(391*18000*0.00001)+(113*22500*0.00001))</f>
        <v>1102.6350000000002</v>
      </c>
      <c r="E33" s="927">
        <f>((7296*1000*0.00001)+(2594*1500*0.00001)+(391*2000*0.00001)+(113*2500*0.00001))</f>
        <v>122.515</v>
      </c>
      <c r="F33" s="916">
        <f>SUM(D33:E33)</f>
        <v>1225.1500000000003</v>
      </c>
      <c r="G33" s="1615"/>
    </row>
    <row r="34" spans="1:7" ht="19.5" customHeight="1" thickBot="1" x14ac:dyDescent="0.25">
      <c r="A34" s="940" t="s">
        <v>1113</v>
      </c>
      <c r="B34" s="941" t="s">
        <v>18</v>
      </c>
      <c r="C34" s="941"/>
      <c r="D34" s="942">
        <f>D30+D31+D32+D33</f>
        <v>1681.335</v>
      </c>
      <c r="E34" s="942">
        <f>E30+E31+E32+E33</f>
        <v>186.815</v>
      </c>
      <c r="F34" s="942">
        <f>F30+F31+F32+F33</f>
        <v>1868.1500000000003</v>
      </c>
      <c r="G34" s="943"/>
    </row>
    <row r="35" spans="1:7" ht="33" customHeight="1" thickBot="1" x14ac:dyDescent="0.25">
      <c r="A35" s="930">
        <v>1</v>
      </c>
      <c r="B35" s="931" t="s">
        <v>860</v>
      </c>
      <c r="C35" s="932" t="s">
        <v>634</v>
      </c>
      <c r="D35" s="933">
        <f>(D6+D7+D9+D10+D11+D12+D13+D14+D15+D24+D25)*5%</f>
        <v>532.51708323618993</v>
      </c>
      <c r="E35" s="933">
        <v>0</v>
      </c>
      <c r="F35" s="933">
        <f>SUM(D35:E35)</f>
        <v>532.51708323618993</v>
      </c>
      <c r="G35" s="931" t="s">
        <v>1083</v>
      </c>
    </row>
    <row r="36" spans="1:7" ht="19.5" customHeight="1" thickBot="1" x14ac:dyDescent="0.25">
      <c r="A36" s="944" t="s">
        <v>1114</v>
      </c>
      <c r="B36" s="941" t="s">
        <v>18</v>
      </c>
      <c r="C36" s="941"/>
      <c r="D36" s="942">
        <f>D35</f>
        <v>532.51708323618993</v>
      </c>
      <c r="E36" s="942">
        <f t="shared" ref="E36:F36" si="5">E35</f>
        <v>0</v>
      </c>
      <c r="F36" s="942">
        <f t="shared" si="5"/>
        <v>532.51708323618993</v>
      </c>
      <c r="G36" s="943"/>
    </row>
    <row r="37" spans="1:7" ht="19.5" customHeight="1" thickBot="1" x14ac:dyDescent="0.25">
      <c r="A37" s="944"/>
      <c r="B37" s="941" t="s">
        <v>1115</v>
      </c>
      <c r="C37" s="941"/>
      <c r="D37" s="942">
        <f>D27+D34+D36</f>
        <v>12864.193747959989</v>
      </c>
      <c r="E37" s="942">
        <f>E27+E34+E36</f>
        <v>6562.0167030000011</v>
      </c>
      <c r="F37" s="942">
        <f>F27+F34+F36</f>
        <v>19426.210450959996</v>
      </c>
      <c r="G37" s="943"/>
    </row>
    <row r="38" spans="1:7" ht="19.5" customHeight="1" x14ac:dyDescent="0.2">
      <c r="A38" s="64" t="s">
        <v>1077</v>
      </c>
      <c r="E38" s="538"/>
    </row>
    <row r="39" spans="1:7" x14ac:dyDescent="0.2">
      <c r="A39" s="1576"/>
      <c r="B39" s="1576"/>
      <c r="E39" s="538"/>
    </row>
    <row r="42" spans="1:7" x14ac:dyDescent="0.2">
      <c r="F42" s="538"/>
    </row>
    <row r="46" spans="1:7" x14ac:dyDescent="0.2">
      <c r="F46" s="538"/>
    </row>
  </sheetData>
  <mergeCells count="31">
    <mergeCell ref="A12:A13"/>
    <mergeCell ref="B12:B13"/>
    <mergeCell ref="G12:G13"/>
    <mergeCell ref="A1:G1"/>
    <mergeCell ref="A2:G2"/>
    <mergeCell ref="A6:A7"/>
    <mergeCell ref="B6:B7"/>
    <mergeCell ref="A5:F5"/>
    <mergeCell ref="A9:A10"/>
    <mergeCell ref="B9:B10"/>
    <mergeCell ref="G9:G10"/>
    <mergeCell ref="A39:B39"/>
    <mergeCell ref="A18:A19"/>
    <mergeCell ref="B18:B19"/>
    <mergeCell ref="G18:G19"/>
    <mergeCell ref="A20:A21"/>
    <mergeCell ref="B20:B21"/>
    <mergeCell ref="G20:G21"/>
    <mergeCell ref="G32:G33"/>
    <mergeCell ref="A29:F29"/>
    <mergeCell ref="A22:A23"/>
    <mergeCell ref="B22:B23"/>
    <mergeCell ref="G22:G23"/>
    <mergeCell ref="A24:A25"/>
    <mergeCell ref="B24:B25"/>
    <mergeCell ref="A14:A15"/>
    <mergeCell ref="B14:B15"/>
    <mergeCell ref="G14:G15"/>
    <mergeCell ref="A16:A17"/>
    <mergeCell ref="B16:B17"/>
    <mergeCell ref="G16:G17"/>
  </mergeCells>
  <pageMargins left="0.43307086614173229" right="0.23622047244094491" top="0.23622047244094491" bottom="0.27559055118110237" header="0.15748031496062992" footer="0.15748031496062992"/>
  <pageSetup paperSize="9" scale="7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A2:S36"/>
  <sheetViews>
    <sheetView view="pageBreakPreview" topLeftCell="A7" zoomScaleSheetLayoutView="100" workbookViewId="0">
      <selection activeCell="O19" sqref="O19"/>
    </sheetView>
  </sheetViews>
  <sheetFormatPr defaultRowHeight="12.75" x14ac:dyDescent="0.2"/>
  <cols>
    <col min="1" max="1" width="8" customWidth="1"/>
    <col min="2" max="2" width="11.7109375" customWidth="1"/>
    <col min="3" max="3" width="9.7109375" customWidth="1"/>
    <col min="5" max="5" width="9.5703125" customWidth="1"/>
    <col min="6" max="6" width="9.7109375" customWidth="1"/>
    <col min="7" max="7" width="10.85546875" customWidth="1"/>
    <col min="8" max="8" width="9.85546875" customWidth="1"/>
    <col min="10" max="10" width="10.7109375" customWidth="1"/>
    <col min="11" max="11" width="9.42578125" customWidth="1"/>
    <col min="12" max="12" width="9.85546875" customWidth="1"/>
    <col min="13" max="13" width="8.85546875" customWidth="1"/>
    <col min="14" max="14" width="11" customWidth="1"/>
  </cols>
  <sheetData>
    <row r="2" spans="1:19" ht="12.75" customHeight="1" x14ac:dyDescent="0.2">
      <c r="D2" s="1037"/>
      <c r="E2" s="1037"/>
      <c r="F2" s="1037"/>
      <c r="G2" s="1037"/>
      <c r="H2" s="1037"/>
      <c r="I2" s="1037"/>
      <c r="L2" s="1141" t="s">
        <v>89</v>
      </c>
      <c r="M2" s="1141"/>
      <c r="N2" s="1141"/>
    </row>
    <row r="3" spans="1:19" ht="15.75" x14ac:dyDescent="0.25">
      <c r="A3" s="1131" t="s">
        <v>0</v>
      </c>
      <c r="B3" s="1131"/>
      <c r="C3" s="1131"/>
      <c r="D3" s="1131"/>
      <c r="E3" s="1131"/>
      <c r="F3" s="1131"/>
      <c r="G3" s="1131"/>
      <c r="H3" s="1131"/>
      <c r="I3" s="1131"/>
      <c r="J3" s="1131"/>
      <c r="K3" s="1131"/>
      <c r="L3" s="1131"/>
      <c r="M3" s="1131"/>
      <c r="N3" s="1131"/>
    </row>
    <row r="4" spans="1:19" ht="15.75" x14ac:dyDescent="0.25">
      <c r="A4" s="1131" t="s">
        <v>788</v>
      </c>
      <c r="B4" s="1131"/>
      <c r="C4" s="1131"/>
      <c r="D4" s="1131"/>
      <c r="E4" s="1131"/>
      <c r="F4" s="1131"/>
      <c r="G4" s="1131"/>
      <c r="H4" s="1131"/>
      <c r="I4" s="1131"/>
      <c r="J4" s="1131"/>
      <c r="K4" s="1131"/>
      <c r="L4" s="1131"/>
      <c r="M4" s="1131"/>
      <c r="N4" s="1131"/>
      <c r="O4" s="69"/>
    </row>
    <row r="5" spans="1:19" ht="18" x14ac:dyDescent="0.25">
      <c r="A5" s="1146" t="s">
        <v>792</v>
      </c>
      <c r="B5" s="1146"/>
      <c r="C5" s="1146"/>
      <c r="D5" s="1146"/>
      <c r="E5" s="1146"/>
      <c r="F5" s="1146"/>
      <c r="G5" s="1146"/>
      <c r="H5" s="1146"/>
      <c r="I5" s="1146"/>
      <c r="J5" s="1146"/>
      <c r="K5" s="1146"/>
      <c r="L5" s="1146"/>
      <c r="M5" s="1146"/>
      <c r="N5" s="1146"/>
    </row>
    <row r="7" spans="1:19" x14ac:dyDescent="0.2">
      <c r="A7" s="1147" t="s">
        <v>456</v>
      </c>
      <c r="B7" s="1147"/>
      <c r="C7" s="1147"/>
      <c r="D7" s="451"/>
      <c r="E7" s="451"/>
      <c r="F7" s="451"/>
      <c r="G7" s="451"/>
      <c r="H7" s="451"/>
      <c r="I7" s="451"/>
      <c r="J7" s="451"/>
      <c r="K7" s="453"/>
      <c r="L7" s="1142" t="s">
        <v>791</v>
      </c>
      <c r="M7" s="1142"/>
      <c r="N7" s="1142"/>
    </row>
    <row r="8" spans="1:19" ht="15.75" customHeight="1" x14ac:dyDescent="0.2">
      <c r="A8" s="1136" t="s">
        <v>2</v>
      </c>
      <c r="B8" s="1136" t="s">
        <v>3</v>
      </c>
      <c r="C8" s="1135" t="s">
        <v>4</v>
      </c>
      <c r="D8" s="1135"/>
      <c r="E8" s="1135"/>
      <c r="F8" s="1135"/>
      <c r="G8" s="1135"/>
      <c r="H8" s="1134" t="s">
        <v>107</v>
      </c>
      <c r="I8" s="1134"/>
      <c r="J8" s="1134"/>
      <c r="K8" s="1134"/>
      <c r="L8" s="1134"/>
      <c r="M8" s="1143" t="s">
        <v>143</v>
      </c>
      <c r="N8" s="1145" t="s">
        <v>144</v>
      </c>
    </row>
    <row r="9" spans="1:19" ht="38.25" x14ac:dyDescent="0.2">
      <c r="A9" s="1137"/>
      <c r="B9" s="1137"/>
      <c r="C9" s="189" t="s">
        <v>5</v>
      </c>
      <c r="D9" s="189" t="s">
        <v>6</v>
      </c>
      <c r="E9" s="189" t="s">
        <v>487</v>
      </c>
      <c r="F9" s="189" t="s">
        <v>105</v>
      </c>
      <c r="G9" s="189" t="s">
        <v>488</v>
      </c>
      <c r="H9" s="195" t="s">
        <v>5</v>
      </c>
      <c r="I9" s="189" t="s">
        <v>6</v>
      </c>
      <c r="J9" s="189" t="s">
        <v>487</v>
      </c>
      <c r="K9" s="194" t="s">
        <v>105</v>
      </c>
      <c r="L9" s="4" t="s">
        <v>489</v>
      </c>
      <c r="M9" s="1144"/>
      <c r="N9" s="1145"/>
      <c r="R9" s="9"/>
      <c r="S9" s="9"/>
    </row>
    <row r="10" spans="1:19" s="11" customFormat="1" x14ac:dyDescent="0.2">
      <c r="A10" s="189">
        <v>1</v>
      </c>
      <c r="B10" s="189">
        <v>2</v>
      </c>
      <c r="C10" s="189">
        <v>3</v>
      </c>
      <c r="D10" s="189">
        <v>4</v>
      </c>
      <c r="E10" s="189">
        <v>5</v>
      </c>
      <c r="F10" s="189">
        <v>6</v>
      </c>
      <c r="G10" s="189">
        <v>7</v>
      </c>
      <c r="H10" s="195">
        <v>8</v>
      </c>
      <c r="I10" s="222">
        <v>9</v>
      </c>
      <c r="J10" s="189">
        <v>10</v>
      </c>
      <c r="K10" s="194">
        <v>11</v>
      </c>
      <c r="L10" s="189">
        <v>12</v>
      </c>
      <c r="M10" s="195">
        <v>13</v>
      </c>
      <c r="N10" s="189">
        <v>14</v>
      </c>
    </row>
    <row r="11" spans="1:19" ht="20.100000000000001" customHeight="1" x14ac:dyDescent="0.2">
      <c r="A11" s="188">
        <v>1</v>
      </c>
      <c r="B11" s="219" t="s">
        <v>386</v>
      </c>
      <c r="C11" s="90">
        <v>1416</v>
      </c>
      <c r="D11" s="90">
        <v>2</v>
      </c>
      <c r="E11" s="90">
        <v>0</v>
      </c>
      <c r="F11" s="90">
        <v>0</v>
      </c>
      <c r="G11" s="68">
        <f>C11+D11+E11+F11</f>
        <v>1418</v>
      </c>
      <c r="H11" s="560">
        <v>1310</v>
      </c>
      <c r="I11" s="334">
        <v>2</v>
      </c>
      <c r="J11" s="334">
        <v>0</v>
      </c>
      <c r="K11" s="561">
        <v>0</v>
      </c>
      <c r="L11" s="68">
        <f>H11+I11+J11+K11</f>
        <v>1312</v>
      </c>
      <c r="M11" s="553">
        <f>G11-L11</f>
        <v>106</v>
      </c>
      <c r="N11" s="90"/>
    </row>
    <row r="12" spans="1:19" ht="20.100000000000001" customHeight="1" x14ac:dyDescent="0.2">
      <c r="A12" s="188">
        <v>2</v>
      </c>
      <c r="B12" s="219" t="s">
        <v>387</v>
      </c>
      <c r="C12" s="90">
        <v>609</v>
      </c>
      <c r="D12" s="90">
        <v>2</v>
      </c>
      <c r="E12" s="90">
        <v>0</v>
      </c>
      <c r="F12" s="90">
        <v>0</v>
      </c>
      <c r="G12" s="68">
        <f t="shared" ref="G12:G22" si="0">C12+D12+E12+F12</f>
        <v>611</v>
      </c>
      <c r="H12" s="560">
        <v>572</v>
      </c>
      <c r="I12" s="333">
        <v>1</v>
      </c>
      <c r="J12" s="333">
        <v>0</v>
      </c>
      <c r="K12" s="556">
        <v>0</v>
      </c>
      <c r="L12" s="772">
        <f t="shared" ref="L12:L23" si="1">H12+I12+J12+K12</f>
        <v>573</v>
      </c>
      <c r="M12" s="665">
        <f t="shared" ref="M12:M23" si="2">G12-L12</f>
        <v>38</v>
      </c>
      <c r="N12" s="90"/>
    </row>
    <row r="13" spans="1:19" ht="20.100000000000001" customHeight="1" x14ac:dyDescent="0.2">
      <c r="A13" s="188">
        <v>3</v>
      </c>
      <c r="B13" s="219" t="s">
        <v>388</v>
      </c>
      <c r="C13" s="90">
        <v>1039</v>
      </c>
      <c r="D13" s="90">
        <v>0</v>
      </c>
      <c r="E13" s="90">
        <v>0</v>
      </c>
      <c r="F13" s="90">
        <v>0</v>
      </c>
      <c r="G13" s="68">
        <f t="shared" si="0"/>
        <v>1039</v>
      </c>
      <c r="H13" s="560">
        <v>979</v>
      </c>
      <c r="I13" s="333">
        <v>0</v>
      </c>
      <c r="J13" s="333">
        <v>0</v>
      </c>
      <c r="K13" s="556">
        <v>0</v>
      </c>
      <c r="L13" s="772">
        <f t="shared" si="1"/>
        <v>979</v>
      </c>
      <c r="M13" s="665">
        <f t="shared" si="2"/>
        <v>60</v>
      </c>
      <c r="N13" s="90"/>
    </row>
    <row r="14" spans="1:19" ht="20.100000000000001" customHeight="1" x14ac:dyDescent="0.2">
      <c r="A14" s="188">
        <v>4</v>
      </c>
      <c r="B14" s="219" t="s">
        <v>389</v>
      </c>
      <c r="C14" s="90">
        <v>516</v>
      </c>
      <c r="D14" s="90">
        <v>0</v>
      </c>
      <c r="E14" s="90">
        <v>0</v>
      </c>
      <c r="F14" s="90">
        <v>0</v>
      </c>
      <c r="G14" s="68">
        <f t="shared" si="0"/>
        <v>516</v>
      </c>
      <c r="H14" s="560">
        <v>489</v>
      </c>
      <c r="I14" s="333">
        <v>0</v>
      </c>
      <c r="J14" s="333">
        <v>0</v>
      </c>
      <c r="K14" s="556">
        <v>0</v>
      </c>
      <c r="L14" s="772">
        <f t="shared" si="1"/>
        <v>489</v>
      </c>
      <c r="M14" s="665">
        <f t="shared" si="2"/>
        <v>27</v>
      </c>
      <c r="N14" s="90"/>
    </row>
    <row r="15" spans="1:19" ht="20.100000000000001" customHeight="1" x14ac:dyDescent="0.2">
      <c r="A15" s="188">
        <v>5</v>
      </c>
      <c r="B15" s="221" t="s">
        <v>390</v>
      </c>
      <c r="C15" s="90">
        <v>953</v>
      </c>
      <c r="D15" s="90">
        <v>10</v>
      </c>
      <c r="E15" s="90">
        <v>22</v>
      </c>
      <c r="F15" s="90">
        <v>14</v>
      </c>
      <c r="G15" s="68">
        <f t="shared" si="0"/>
        <v>999</v>
      </c>
      <c r="H15" s="560">
        <v>943</v>
      </c>
      <c r="I15" s="333">
        <v>7</v>
      </c>
      <c r="J15" s="333">
        <v>7</v>
      </c>
      <c r="K15" s="556">
        <v>11</v>
      </c>
      <c r="L15" s="772">
        <f t="shared" si="1"/>
        <v>968</v>
      </c>
      <c r="M15" s="665">
        <f t="shared" si="2"/>
        <v>31</v>
      </c>
      <c r="N15" s="90"/>
    </row>
    <row r="16" spans="1:19" ht="20.100000000000001" customHeight="1" x14ac:dyDescent="0.2">
      <c r="A16" s="188">
        <v>6</v>
      </c>
      <c r="B16" s="219" t="s">
        <v>391</v>
      </c>
      <c r="C16" s="90">
        <v>676</v>
      </c>
      <c r="D16" s="90">
        <v>1</v>
      </c>
      <c r="E16" s="90">
        <v>6</v>
      </c>
      <c r="F16" s="90">
        <v>68</v>
      </c>
      <c r="G16" s="68">
        <f t="shared" si="0"/>
        <v>751</v>
      </c>
      <c r="H16" s="560">
        <v>670</v>
      </c>
      <c r="I16" s="333">
        <v>1</v>
      </c>
      <c r="J16" s="333">
        <v>10</v>
      </c>
      <c r="K16" s="556">
        <v>66</v>
      </c>
      <c r="L16" s="772">
        <f t="shared" si="1"/>
        <v>747</v>
      </c>
      <c r="M16" s="665">
        <f t="shared" si="2"/>
        <v>4</v>
      </c>
      <c r="N16" s="90"/>
    </row>
    <row r="17" spans="1:17" ht="20.100000000000001" customHeight="1" x14ac:dyDescent="0.2">
      <c r="A17" s="188">
        <v>7</v>
      </c>
      <c r="B17" s="221" t="s">
        <v>392</v>
      </c>
      <c r="C17" s="90">
        <v>992</v>
      </c>
      <c r="D17" s="90">
        <v>0</v>
      </c>
      <c r="E17" s="90">
        <v>0</v>
      </c>
      <c r="F17" s="90">
        <v>4</v>
      </c>
      <c r="G17" s="68">
        <f t="shared" si="0"/>
        <v>996</v>
      </c>
      <c r="H17" s="560">
        <v>954</v>
      </c>
      <c r="I17" s="333">
        <v>0</v>
      </c>
      <c r="J17" s="333">
        <v>0</v>
      </c>
      <c r="K17" s="556">
        <v>3</v>
      </c>
      <c r="L17" s="772">
        <f t="shared" si="1"/>
        <v>957</v>
      </c>
      <c r="M17" s="665">
        <f t="shared" si="2"/>
        <v>39</v>
      </c>
      <c r="N17" s="90"/>
    </row>
    <row r="18" spans="1:17" ht="20.100000000000001" customHeight="1" x14ac:dyDescent="0.2">
      <c r="A18" s="188">
        <v>8</v>
      </c>
      <c r="B18" s="219" t="s">
        <v>393</v>
      </c>
      <c r="C18" s="90">
        <v>1699</v>
      </c>
      <c r="D18" s="90">
        <v>1</v>
      </c>
      <c r="E18" s="90">
        <v>0</v>
      </c>
      <c r="F18" s="90">
        <v>0</v>
      </c>
      <c r="G18" s="68">
        <f t="shared" si="0"/>
        <v>1700</v>
      </c>
      <c r="H18" s="560">
        <v>1483</v>
      </c>
      <c r="I18" s="333">
        <v>1</v>
      </c>
      <c r="J18" s="333">
        <v>0</v>
      </c>
      <c r="K18" s="556">
        <v>0</v>
      </c>
      <c r="L18" s="772">
        <f t="shared" si="1"/>
        <v>1484</v>
      </c>
      <c r="M18" s="665">
        <f t="shared" si="2"/>
        <v>216</v>
      </c>
      <c r="N18" s="90"/>
    </row>
    <row r="19" spans="1:17" ht="20.100000000000001" customHeight="1" x14ac:dyDescent="0.2">
      <c r="A19" s="188">
        <v>9</v>
      </c>
      <c r="B19" s="219" t="s">
        <v>394</v>
      </c>
      <c r="C19" s="90">
        <v>1183</v>
      </c>
      <c r="D19" s="90">
        <v>6</v>
      </c>
      <c r="E19" s="90">
        <v>0</v>
      </c>
      <c r="F19" s="90">
        <v>0</v>
      </c>
      <c r="G19" s="68">
        <f t="shared" si="0"/>
        <v>1189</v>
      </c>
      <c r="H19" s="560">
        <v>1087</v>
      </c>
      <c r="I19" s="333">
        <v>1</v>
      </c>
      <c r="J19" s="333">
        <v>0</v>
      </c>
      <c r="K19" s="556">
        <v>0</v>
      </c>
      <c r="L19" s="772">
        <f t="shared" si="1"/>
        <v>1088</v>
      </c>
      <c r="M19" s="665">
        <f t="shared" si="2"/>
        <v>101</v>
      </c>
      <c r="N19" s="90"/>
      <c r="Q19" s="747"/>
    </row>
    <row r="20" spans="1:17" ht="20.100000000000001" customHeight="1" x14ac:dyDescent="0.2">
      <c r="A20" s="188">
        <v>10</v>
      </c>
      <c r="B20" s="219" t="s">
        <v>395</v>
      </c>
      <c r="C20" s="90">
        <v>569</v>
      </c>
      <c r="D20" s="90">
        <v>0</v>
      </c>
      <c r="E20" s="90">
        <v>0</v>
      </c>
      <c r="F20" s="90">
        <v>0</v>
      </c>
      <c r="G20" s="68">
        <f t="shared" si="0"/>
        <v>569</v>
      </c>
      <c r="H20" s="560">
        <v>533</v>
      </c>
      <c r="I20" s="333">
        <v>0</v>
      </c>
      <c r="J20" s="333">
        <v>0</v>
      </c>
      <c r="K20" s="556">
        <v>0</v>
      </c>
      <c r="L20" s="772">
        <f t="shared" si="1"/>
        <v>533</v>
      </c>
      <c r="M20" s="665">
        <f t="shared" si="2"/>
        <v>36</v>
      </c>
      <c r="N20" s="90"/>
      <c r="Q20" s="747"/>
    </row>
    <row r="21" spans="1:17" ht="20.100000000000001" customHeight="1" x14ac:dyDescent="0.2">
      <c r="A21" s="188">
        <v>11</v>
      </c>
      <c r="B21" s="219" t="s">
        <v>396</v>
      </c>
      <c r="C21" s="90">
        <v>1476</v>
      </c>
      <c r="D21" s="90">
        <v>0</v>
      </c>
      <c r="E21" s="90">
        <v>0</v>
      </c>
      <c r="F21" s="90">
        <v>0</v>
      </c>
      <c r="G21" s="68">
        <f t="shared" si="0"/>
        <v>1476</v>
      </c>
      <c r="H21" s="560">
        <v>1330</v>
      </c>
      <c r="I21" s="333">
        <v>0</v>
      </c>
      <c r="J21" s="333">
        <v>0</v>
      </c>
      <c r="K21" s="556">
        <v>0</v>
      </c>
      <c r="L21" s="772">
        <f t="shared" si="1"/>
        <v>1330</v>
      </c>
      <c r="M21" s="665">
        <f t="shared" si="2"/>
        <v>146</v>
      </c>
      <c r="N21" s="90"/>
      <c r="Q21" s="747"/>
    </row>
    <row r="22" spans="1:17" ht="20.100000000000001" customHeight="1" x14ac:dyDescent="0.2">
      <c r="A22" s="188">
        <v>12</v>
      </c>
      <c r="B22" s="219" t="s">
        <v>397</v>
      </c>
      <c r="C22" s="90">
        <v>799</v>
      </c>
      <c r="D22" s="90">
        <v>22</v>
      </c>
      <c r="E22" s="90">
        <v>0</v>
      </c>
      <c r="F22" s="90">
        <v>39</v>
      </c>
      <c r="G22" s="68">
        <f t="shared" si="0"/>
        <v>860</v>
      </c>
      <c r="H22" s="560">
        <v>790</v>
      </c>
      <c r="I22" s="333">
        <v>21</v>
      </c>
      <c r="J22" s="333">
        <v>1</v>
      </c>
      <c r="K22" s="556">
        <v>45</v>
      </c>
      <c r="L22" s="772">
        <f t="shared" si="1"/>
        <v>857</v>
      </c>
      <c r="M22" s="665">
        <f t="shared" si="2"/>
        <v>3</v>
      </c>
      <c r="N22" s="90"/>
      <c r="Q22" s="747"/>
    </row>
    <row r="23" spans="1:17" ht="20.100000000000001" customHeight="1" x14ac:dyDescent="0.2">
      <c r="A23" s="188">
        <v>13</v>
      </c>
      <c r="B23" s="219" t="s">
        <v>398</v>
      </c>
      <c r="C23" s="90">
        <v>769</v>
      </c>
      <c r="D23" s="90">
        <v>0</v>
      </c>
      <c r="E23" s="90">
        <v>0</v>
      </c>
      <c r="F23" s="90">
        <v>0</v>
      </c>
      <c r="G23" s="68">
        <f>C23+D23+E23+F23</f>
        <v>769</v>
      </c>
      <c r="H23" s="560">
        <v>728</v>
      </c>
      <c r="I23" s="333">
        <v>0</v>
      </c>
      <c r="J23" s="333">
        <v>0</v>
      </c>
      <c r="K23" s="556">
        <v>0</v>
      </c>
      <c r="L23" s="772">
        <f t="shared" si="1"/>
        <v>728</v>
      </c>
      <c r="M23" s="665">
        <f t="shared" si="2"/>
        <v>41</v>
      </c>
      <c r="N23" s="90"/>
    </row>
    <row r="24" spans="1:17" s="11" customFormat="1" x14ac:dyDescent="0.2">
      <c r="A24" s="188" t="s">
        <v>18</v>
      </c>
      <c r="B24" s="188"/>
      <c r="C24" s="188">
        <f>SUM(C11:C23)</f>
        <v>12696</v>
      </c>
      <c r="D24" s="188">
        <f t="shared" ref="D24:M24" si="3">SUM(D11:D23)</f>
        <v>44</v>
      </c>
      <c r="E24" s="188">
        <f t="shared" si="3"/>
        <v>28</v>
      </c>
      <c r="F24" s="188">
        <f t="shared" si="3"/>
        <v>125</v>
      </c>
      <c r="G24" s="188">
        <f t="shared" si="3"/>
        <v>12893</v>
      </c>
      <c r="H24" s="777">
        <f t="shared" si="3"/>
        <v>11868</v>
      </c>
      <c r="I24" s="777">
        <f t="shared" si="3"/>
        <v>34</v>
      </c>
      <c r="J24" s="777">
        <f t="shared" si="3"/>
        <v>18</v>
      </c>
      <c r="K24" s="777">
        <f t="shared" si="3"/>
        <v>125</v>
      </c>
      <c r="L24" s="188">
        <f t="shared" si="3"/>
        <v>12045</v>
      </c>
      <c r="M24" s="188">
        <f t="shared" si="3"/>
        <v>848</v>
      </c>
      <c r="N24" s="188"/>
    </row>
    <row r="25" spans="1:17" s="11" customFormat="1" x14ac:dyDescent="0.2">
      <c r="A25" s="8"/>
      <c r="B25" s="20"/>
      <c r="C25" s="193"/>
      <c r="D25" s="193"/>
      <c r="E25" s="193"/>
      <c r="F25" s="193"/>
      <c r="G25" s="193"/>
      <c r="H25" s="193"/>
      <c r="I25" s="193"/>
      <c r="J25" s="193"/>
      <c r="K25" s="193"/>
      <c r="L25" s="193"/>
      <c r="M25" s="193"/>
      <c r="N25" s="20"/>
    </row>
    <row r="26" spans="1:17" x14ac:dyDescent="0.2">
      <c r="A26" s="8"/>
      <c r="B26" s="9"/>
      <c r="C26" s="9"/>
      <c r="D26" s="9"/>
      <c r="E26" s="9"/>
      <c r="F26" s="1138"/>
      <c r="G26" s="1138"/>
      <c r="H26" s="9"/>
      <c r="I26" s="1148" t="s">
        <v>818</v>
      </c>
      <c r="J26" s="1148"/>
      <c r="K26" s="1148"/>
      <c r="L26" s="9"/>
      <c r="M26" s="9"/>
      <c r="P26" s="11"/>
    </row>
    <row r="27" spans="1:17" x14ac:dyDescent="0.2">
      <c r="A27" s="7" t="s">
        <v>7</v>
      </c>
      <c r="F27" s="1139"/>
      <c r="G27" s="1139"/>
      <c r="I27" s="1140" t="s">
        <v>813</v>
      </c>
      <c r="J27" s="1140"/>
      <c r="K27" s="1140"/>
      <c r="M27" s="9"/>
      <c r="P27" s="11"/>
    </row>
    <row r="28" spans="1:17" x14ac:dyDescent="0.2">
      <c r="A28" t="s">
        <v>8</v>
      </c>
      <c r="F28" s="1139"/>
      <c r="G28" s="1139"/>
      <c r="I28" s="1140" t="s">
        <v>814</v>
      </c>
      <c r="J28" s="1140"/>
      <c r="K28" s="1140"/>
      <c r="M28" s="9"/>
      <c r="P28" s="11"/>
    </row>
    <row r="29" spans="1:17" x14ac:dyDescent="0.2">
      <c r="F29" s="420"/>
      <c r="G29" s="420"/>
      <c r="I29" s="1140" t="s">
        <v>739</v>
      </c>
      <c r="J29" s="1140"/>
      <c r="K29" s="1140"/>
      <c r="M29" s="9"/>
      <c r="P29" s="11"/>
    </row>
    <row r="30" spans="1:17" x14ac:dyDescent="0.2">
      <c r="F30" s="420"/>
      <c r="G30" s="420"/>
      <c r="I30" s="420"/>
      <c r="J30" s="420"/>
      <c r="M30" s="9"/>
      <c r="P30" s="11"/>
    </row>
    <row r="31" spans="1:17" x14ac:dyDescent="0.2">
      <c r="F31" s="420"/>
      <c r="G31" s="420"/>
      <c r="I31" s="420"/>
      <c r="J31" s="420"/>
      <c r="M31" s="9"/>
    </row>
    <row r="32" spans="1:17" ht="12.75" customHeight="1" x14ac:dyDescent="0.2">
      <c r="A32" s="114"/>
      <c r="B32" s="114"/>
      <c r="C32" s="114"/>
      <c r="D32" s="114"/>
      <c r="E32" s="114"/>
      <c r="I32" s="420"/>
      <c r="J32" s="420"/>
      <c r="K32" s="1091" t="s">
        <v>12</v>
      </c>
      <c r="L32" s="1091"/>
      <c r="M32" s="1091"/>
    </row>
    <row r="33" spans="1:14" ht="12.75" customHeight="1" x14ac:dyDescent="0.2">
      <c r="A33" s="114"/>
      <c r="B33" s="114"/>
      <c r="C33" s="114"/>
      <c r="D33" s="114"/>
      <c r="E33" s="114"/>
      <c r="I33" s="94"/>
      <c r="J33" s="1073" t="s">
        <v>13</v>
      </c>
      <c r="K33" s="1073"/>
      <c r="L33" s="1073"/>
      <c r="M33" s="1073"/>
      <c r="N33" s="1073"/>
    </row>
    <row r="34" spans="1:14" ht="13.5" customHeight="1" x14ac:dyDescent="0.2">
      <c r="A34" s="114"/>
      <c r="B34" s="114"/>
      <c r="C34" s="114"/>
      <c r="D34" s="114"/>
      <c r="E34" s="114"/>
      <c r="I34" s="94"/>
      <c r="J34" s="1073" t="s">
        <v>607</v>
      </c>
      <c r="K34" s="1073"/>
      <c r="L34" s="1073"/>
      <c r="M34" s="1073"/>
      <c r="N34" s="1073"/>
    </row>
    <row r="35" spans="1:14" x14ac:dyDescent="0.2">
      <c r="A35" s="114" t="s">
        <v>11</v>
      </c>
      <c r="C35" s="114"/>
      <c r="D35" s="114"/>
      <c r="E35" s="114"/>
      <c r="I35" s="94"/>
      <c r="J35" s="94"/>
      <c r="K35" s="1" t="s">
        <v>84</v>
      </c>
      <c r="M35" s="1"/>
      <c r="N35" s="54"/>
    </row>
    <row r="36" spans="1:14" x14ac:dyDescent="0.2">
      <c r="A36" s="283"/>
      <c r="B36" s="283"/>
      <c r="C36" s="283"/>
      <c r="D36" s="283"/>
      <c r="E36" s="283"/>
      <c r="F36" s="283"/>
      <c r="G36" s="283"/>
      <c r="H36" s="283"/>
      <c r="I36" s="283"/>
      <c r="J36" s="283"/>
      <c r="K36" s="283"/>
      <c r="L36" s="283"/>
      <c r="M36" s="283"/>
    </row>
  </sheetData>
  <mergeCells count="23">
    <mergeCell ref="D2:I2"/>
    <mergeCell ref="F27:G27"/>
    <mergeCell ref="A3:N3"/>
    <mergeCell ref="L2:N2"/>
    <mergeCell ref="L7:N7"/>
    <mergeCell ref="M8:M9"/>
    <mergeCell ref="N8:N9"/>
    <mergeCell ref="A5:N5"/>
    <mergeCell ref="A8:A9"/>
    <mergeCell ref="A4:N4"/>
    <mergeCell ref="A7:C7"/>
    <mergeCell ref="I26:K26"/>
    <mergeCell ref="I27:K27"/>
    <mergeCell ref="J34:N34"/>
    <mergeCell ref="K32:M32"/>
    <mergeCell ref="H8:L8"/>
    <mergeCell ref="C8:G8"/>
    <mergeCell ref="B8:B9"/>
    <mergeCell ref="F26:G26"/>
    <mergeCell ref="J33:N33"/>
    <mergeCell ref="F28:G28"/>
    <mergeCell ref="I28:K28"/>
    <mergeCell ref="I29:K29"/>
  </mergeCells>
  <phoneticPr fontId="0" type="noConversion"/>
  <printOptions horizontalCentered="1"/>
  <pageMargins left="0.5" right="0.3" top="0.23622047244094491" bottom="0" header="0.31496062992125984" footer="0.2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2:S37"/>
  <sheetViews>
    <sheetView view="pageBreakPreview" topLeftCell="A10" zoomScaleNormal="100" zoomScaleSheetLayoutView="100" workbookViewId="0">
      <selection activeCell="G11" sqref="G11:G23"/>
    </sheetView>
  </sheetViews>
  <sheetFormatPr defaultRowHeight="12.75" x14ac:dyDescent="0.2"/>
  <cols>
    <col min="1" max="1" width="7.42578125" customWidth="1"/>
    <col min="2" max="2" width="16.42578125" customWidth="1"/>
    <col min="3" max="3" width="10.140625" customWidth="1"/>
    <col min="5" max="5" width="11" customWidth="1"/>
    <col min="6" max="6" width="10" customWidth="1"/>
    <col min="7" max="7" width="9.7109375" customWidth="1"/>
    <col min="8" max="8" width="10.5703125" customWidth="1"/>
    <col min="9" max="9" width="9.85546875" customWidth="1"/>
    <col min="10" max="10" width="11" customWidth="1"/>
    <col min="11" max="11" width="11.28515625" customWidth="1"/>
    <col min="12" max="12" width="11.140625" customWidth="1"/>
    <col min="13" max="13" width="10.85546875" customWidth="1"/>
    <col min="14" max="14" width="12.85546875" customWidth="1"/>
  </cols>
  <sheetData>
    <row r="2" spans="1:19" ht="12.75" customHeight="1" x14ac:dyDescent="0.2">
      <c r="D2" s="1037"/>
      <c r="E2" s="1037"/>
      <c r="F2" s="1037"/>
      <c r="G2" s="1037"/>
      <c r="H2" s="1037"/>
      <c r="I2" s="1037"/>
      <c r="J2" s="1037"/>
      <c r="K2" s="1"/>
      <c r="M2" s="1141" t="s">
        <v>90</v>
      </c>
      <c r="N2" s="1141"/>
    </row>
    <row r="3" spans="1:19" ht="15.75" x14ac:dyDescent="0.25">
      <c r="A3" s="1131" t="s">
        <v>0</v>
      </c>
      <c r="B3" s="1131"/>
      <c r="C3" s="1131"/>
      <c r="D3" s="1131"/>
      <c r="E3" s="1131"/>
      <c r="F3" s="1131"/>
      <c r="G3" s="1131"/>
      <c r="H3" s="1131"/>
      <c r="I3" s="1131"/>
      <c r="J3" s="1131"/>
      <c r="K3" s="1131"/>
      <c r="L3" s="1131"/>
      <c r="M3" s="1131"/>
      <c r="N3" s="1131"/>
    </row>
    <row r="4" spans="1:19" ht="15.75" x14ac:dyDescent="0.25">
      <c r="A4" s="1131" t="s">
        <v>788</v>
      </c>
      <c r="B4" s="1131"/>
      <c r="C4" s="1131"/>
      <c r="D4" s="1131"/>
      <c r="E4" s="1131"/>
      <c r="F4" s="1131"/>
      <c r="G4" s="1131"/>
      <c r="H4" s="1131"/>
      <c r="I4" s="1131"/>
      <c r="J4" s="1131"/>
      <c r="K4" s="1131"/>
      <c r="L4" s="1131"/>
      <c r="M4" s="1131"/>
      <c r="N4" s="1131"/>
      <c r="O4" s="69"/>
    </row>
    <row r="5" spans="1:19" ht="18" x14ac:dyDescent="0.25">
      <c r="A5" s="1039" t="s">
        <v>793</v>
      </c>
      <c r="B5" s="1039"/>
      <c r="C5" s="1039"/>
      <c r="D5" s="1039"/>
      <c r="E5" s="1039"/>
      <c r="F5" s="1039"/>
      <c r="G5" s="1039"/>
      <c r="H5" s="1039"/>
      <c r="I5" s="1039"/>
      <c r="J5" s="1039"/>
      <c r="K5" s="1039"/>
      <c r="L5" s="1039"/>
      <c r="M5" s="1039"/>
      <c r="N5" s="1039"/>
    </row>
    <row r="6" spans="1:19" ht="6" customHeight="1" x14ac:dyDescent="0.25">
      <c r="A6" s="419"/>
      <c r="B6" s="419"/>
      <c r="C6" s="419"/>
      <c r="D6" s="419"/>
      <c r="E6" s="419"/>
      <c r="F6" s="419"/>
      <c r="G6" s="419"/>
      <c r="H6" s="419"/>
      <c r="I6" s="419"/>
      <c r="J6" s="419"/>
      <c r="K6" s="419"/>
      <c r="L6" s="419"/>
      <c r="M6" s="419"/>
      <c r="N6" s="419"/>
    </row>
    <row r="7" spans="1:19" s="451" customFormat="1" x14ac:dyDescent="0.2">
      <c r="A7" s="1147" t="s">
        <v>456</v>
      </c>
      <c r="B7" s="1147"/>
      <c r="C7" s="1147"/>
      <c r="L7" s="1142" t="s">
        <v>791</v>
      </c>
      <c r="M7" s="1142"/>
      <c r="N7" s="1142"/>
      <c r="Q7"/>
      <c r="R7"/>
    </row>
    <row r="8" spans="1:19" ht="15.75" customHeight="1" x14ac:dyDescent="0.2">
      <c r="A8" s="1145" t="s">
        <v>2</v>
      </c>
      <c r="B8" s="1145" t="s">
        <v>3</v>
      </c>
      <c r="C8" s="1135" t="s">
        <v>4</v>
      </c>
      <c r="D8" s="1135"/>
      <c r="E8" s="1135"/>
      <c r="F8" s="1135"/>
      <c r="G8" s="1135"/>
      <c r="H8" s="1135" t="s">
        <v>107</v>
      </c>
      <c r="I8" s="1135"/>
      <c r="J8" s="1135"/>
      <c r="K8" s="1135"/>
      <c r="L8" s="1135"/>
      <c r="M8" s="1145" t="s">
        <v>143</v>
      </c>
      <c r="N8" s="1145" t="s">
        <v>144</v>
      </c>
    </row>
    <row r="9" spans="1:19" ht="43.5" customHeight="1" x14ac:dyDescent="0.2">
      <c r="A9" s="1145"/>
      <c r="B9" s="1145"/>
      <c r="C9" s="189" t="s">
        <v>5</v>
      </c>
      <c r="D9" s="189" t="s">
        <v>6</v>
      </c>
      <c r="E9" s="189" t="s">
        <v>487</v>
      </c>
      <c r="F9" s="189" t="s">
        <v>105</v>
      </c>
      <c r="G9" s="189" t="s">
        <v>224</v>
      </c>
      <c r="H9" s="195" t="s">
        <v>5</v>
      </c>
      <c r="I9" s="189" t="s">
        <v>6</v>
      </c>
      <c r="J9" s="189" t="s">
        <v>487</v>
      </c>
      <c r="K9" s="189" t="s">
        <v>105</v>
      </c>
      <c r="L9" s="189" t="s">
        <v>223</v>
      </c>
      <c r="M9" s="1145"/>
      <c r="N9" s="1145"/>
      <c r="S9" s="9"/>
    </row>
    <row r="10" spans="1:19" s="11" customFormat="1" x14ac:dyDescent="0.2">
      <c r="A10" s="189">
        <v>1</v>
      </c>
      <c r="B10" s="189">
        <v>2</v>
      </c>
      <c r="C10" s="189">
        <v>3</v>
      </c>
      <c r="D10" s="189">
        <v>4</v>
      </c>
      <c r="E10" s="189">
        <v>5</v>
      </c>
      <c r="F10" s="189">
        <v>6</v>
      </c>
      <c r="G10" s="189">
        <v>7</v>
      </c>
      <c r="H10" s="195">
        <v>8</v>
      </c>
      <c r="I10" s="189">
        <v>9</v>
      </c>
      <c r="J10" s="189">
        <v>10</v>
      </c>
      <c r="K10" s="189">
        <v>11</v>
      </c>
      <c r="L10" s="189">
        <v>12</v>
      </c>
      <c r="M10" s="189">
        <v>13</v>
      </c>
      <c r="N10" s="189">
        <v>14</v>
      </c>
      <c r="Q10"/>
      <c r="R10"/>
    </row>
    <row r="11" spans="1:19" ht="24.95" customHeight="1" x14ac:dyDescent="0.2">
      <c r="A11" s="188">
        <v>1</v>
      </c>
      <c r="B11" s="219" t="s">
        <v>386</v>
      </c>
      <c r="C11" s="90">
        <v>1</v>
      </c>
      <c r="D11" s="90">
        <v>2</v>
      </c>
      <c r="E11" s="90">
        <v>0</v>
      </c>
      <c r="F11" s="90">
        <v>0</v>
      </c>
      <c r="G11" s="68">
        <f>C11+D11+E11+F11</f>
        <v>3</v>
      </c>
      <c r="H11" s="562">
        <v>1</v>
      </c>
      <c r="I11" s="457">
        <v>1</v>
      </c>
      <c r="J11" s="457">
        <v>0</v>
      </c>
      <c r="K11" s="457">
        <v>0</v>
      </c>
      <c r="L11" s="68">
        <f>H11+I11+J11+K11</f>
        <v>2</v>
      </c>
      <c r="M11" s="553">
        <f>G11-L11</f>
        <v>1</v>
      </c>
      <c r="N11" s="212"/>
    </row>
    <row r="12" spans="1:19" ht="24.95" customHeight="1" x14ac:dyDescent="0.2">
      <c r="A12" s="188">
        <v>2</v>
      </c>
      <c r="B12" s="219" t="s">
        <v>387</v>
      </c>
      <c r="C12" s="90">
        <v>0</v>
      </c>
      <c r="D12" s="90">
        <v>0</v>
      </c>
      <c r="E12" s="90">
        <v>0</v>
      </c>
      <c r="F12" s="90">
        <v>0</v>
      </c>
      <c r="G12" s="68">
        <f t="shared" ref="G12:G23" si="0">C12+D12+E12+F12</f>
        <v>0</v>
      </c>
      <c r="H12" s="562">
        <v>0</v>
      </c>
      <c r="I12" s="335">
        <v>0</v>
      </c>
      <c r="J12" s="335">
        <v>0</v>
      </c>
      <c r="K12" s="335">
        <v>0</v>
      </c>
      <c r="L12" s="772">
        <f t="shared" ref="L12:L23" si="1">H12+I12+J12+K12</f>
        <v>0</v>
      </c>
      <c r="M12" s="665">
        <f t="shared" ref="M12:M23" si="2">G12-L12</f>
        <v>0</v>
      </c>
      <c r="N12" s="212"/>
    </row>
    <row r="13" spans="1:19" ht="24.95" customHeight="1" x14ac:dyDescent="0.2">
      <c r="A13" s="188">
        <v>3</v>
      </c>
      <c r="B13" s="219" t="s">
        <v>388</v>
      </c>
      <c r="C13" s="90">
        <v>0</v>
      </c>
      <c r="D13" s="90">
        <v>0</v>
      </c>
      <c r="E13" s="90">
        <v>0</v>
      </c>
      <c r="F13" s="90">
        <v>0</v>
      </c>
      <c r="G13" s="68">
        <f t="shared" si="0"/>
        <v>0</v>
      </c>
      <c r="H13" s="562">
        <v>0</v>
      </c>
      <c r="I13" s="335">
        <v>0</v>
      </c>
      <c r="J13" s="335">
        <v>0</v>
      </c>
      <c r="K13" s="335">
        <v>0</v>
      </c>
      <c r="L13" s="772">
        <f t="shared" si="1"/>
        <v>0</v>
      </c>
      <c r="M13" s="665">
        <f t="shared" si="2"/>
        <v>0</v>
      </c>
      <c r="N13" s="212"/>
    </row>
    <row r="14" spans="1:19" ht="24.95" customHeight="1" x14ac:dyDescent="0.2">
      <c r="A14" s="188">
        <v>4</v>
      </c>
      <c r="B14" s="219" t="s">
        <v>389</v>
      </c>
      <c r="C14" s="90">
        <v>0</v>
      </c>
      <c r="D14" s="90">
        <v>0</v>
      </c>
      <c r="E14" s="90">
        <v>0</v>
      </c>
      <c r="F14" s="90">
        <v>0</v>
      </c>
      <c r="G14" s="68">
        <f t="shared" si="0"/>
        <v>0</v>
      </c>
      <c r="H14" s="562">
        <v>0</v>
      </c>
      <c r="I14" s="335">
        <v>0</v>
      </c>
      <c r="J14" s="335">
        <v>0</v>
      </c>
      <c r="K14" s="335">
        <v>0</v>
      </c>
      <c r="L14" s="772">
        <f t="shared" si="1"/>
        <v>0</v>
      </c>
      <c r="M14" s="665">
        <f t="shared" si="2"/>
        <v>0</v>
      </c>
      <c r="N14" s="212"/>
    </row>
    <row r="15" spans="1:19" ht="24.95" customHeight="1" x14ac:dyDescent="0.2">
      <c r="A15" s="188">
        <v>5</v>
      </c>
      <c r="B15" s="221" t="s">
        <v>390</v>
      </c>
      <c r="C15" s="90">
        <v>1</v>
      </c>
      <c r="D15" s="90">
        <v>21</v>
      </c>
      <c r="E15" s="90">
        <v>0</v>
      </c>
      <c r="F15" s="90">
        <v>1</v>
      </c>
      <c r="G15" s="68">
        <f t="shared" si="0"/>
        <v>23</v>
      </c>
      <c r="H15" s="562">
        <v>1</v>
      </c>
      <c r="I15" s="335">
        <v>20</v>
      </c>
      <c r="J15" s="335">
        <v>0</v>
      </c>
      <c r="K15" s="335">
        <v>1</v>
      </c>
      <c r="L15" s="772">
        <f t="shared" si="1"/>
        <v>22</v>
      </c>
      <c r="M15" s="665">
        <f t="shared" si="2"/>
        <v>1</v>
      </c>
      <c r="N15" s="212"/>
    </row>
    <row r="16" spans="1:19" ht="24.95" customHeight="1" x14ac:dyDescent="0.2">
      <c r="A16" s="188">
        <v>6</v>
      </c>
      <c r="B16" s="219" t="s">
        <v>391</v>
      </c>
      <c r="C16" s="90">
        <v>4</v>
      </c>
      <c r="D16" s="90">
        <v>15</v>
      </c>
      <c r="E16" s="90">
        <v>0</v>
      </c>
      <c r="F16" s="333">
        <v>18</v>
      </c>
      <c r="G16" s="68">
        <f t="shared" si="0"/>
        <v>37</v>
      </c>
      <c r="H16" s="562">
        <v>4</v>
      </c>
      <c r="I16" s="335">
        <v>13</v>
      </c>
      <c r="J16" s="335">
        <v>0</v>
      </c>
      <c r="K16" s="335">
        <v>18</v>
      </c>
      <c r="L16" s="772">
        <f t="shared" si="1"/>
        <v>35</v>
      </c>
      <c r="M16" s="665">
        <f t="shared" si="2"/>
        <v>2</v>
      </c>
      <c r="N16" s="212"/>
    </row>
    <row r="17" spans="1:17" ht="24.95" customHeight="1" x14ac:dyDescent="0.2">
      <c r="A17" s="188">
        <v>7</v>
      </c>
      <c r="B17" s="221" t="s">
        <v>392</v>
      </c>
      <c r="C17" s="90">
        <v>1</v>
      </c>
      <c r="D17" s="90">
        <v>3</v>
      </c>
      <c r="E17" s="90">
        <v>0</v>
      </c>
      <c r="F17" s="90">
        <v>2</v>
      </c>
      <c r="G17" s="68">
        <f t="shared" si="0"/>
        <v>6</v>
      </c>
      <c r="H17" s="562">
        <v>1</v>
      </c>
      <c r="I17" s="335">
        <v>3</v>
      </c>
      <c r="J17" s="335">
        <v>0</v>
      </c>
      <c r="K17" s="335">
        <v>2</v>
      </c>
      <c r="L17" s="772">
        <f t="shared" si="1"/>
        <v>6</v>
      </c>
      <c r="M17" s="665">
        <f t="shared" si="2"/>
        <v>0</v>
      </c>
      <c r="N17" s="212"/>
    </row>
    <row r="18" spans="1:17" ht="24.95" customHeight="1" x14ac:dyDescent="0.2">
      <c r="A18" s="188">
        <v>8</v>
      </c>
      <c r="B18" s="219" t="s">
        <v>393</v>
      </c>
      <c r="C18" s="90">
        <v>3</v>
      </c>
      <c r="D18" s="90">
        <v>4</v>
      </c>
      <c r="E18" s="90">
        <v>0</v>
      </c>
      <c r="F18" s="90">
        <v>0</v>
      </c>
      <c r="G18" s="68">
        <f t="shared" si="0"/>
        <v>7</v>
      </c>
      <c r="H18" s="562">
        <v>3</v>
      </c>
      <c r="I18" s="335">
        <v>1</v>
      </c>
      <c r="J18" s="335">
        <v>0</v>
      </c>
      <c r="K18" s="335">
        <v>0</v>
      </c>
      <c r="L18" s="772">
        <f t="shared" si="1"/>
        <v>4</v>
      </c>
      <c r="M18" s="665">
        <f t="shared" si="2"/>
        <v>3</v>
      </c>
      <c r="N18" s="212"/>
    </row>
    <row r="19" spans="1:17" ht="24.95" customHeight="1" x14ac:dyDescent="0.2">
      <c r="A19" s="188">
        <v>9</v>
      </c>
      <c r="B19" s="219" t="s">
        <v>394</v>
      </c>
      <c r="C19" s="90">
        <v>7</v>
      </c>
      <c r="D19" s="90">
        <v>1</v>
      </c>
      <c r="E19" s="90">
        <v>0</v>
      </c>
      <c r="F19" s="90">
        <v>0</v>
      </c>
      <c r="G19" s="68">
        <f t="shared" si="0"/>
        <v>8</v>
      </c>
      <c r="H19" s="562">
        <v>6</v>
      </c>
      <c r="I19" s="335">
        <v>1</v>
      </c>
      <c r="J19" s="335">
        <v>0</v>
      </c>
      <c r="K19" s="335">
        <v>0</v>
      </c>
      <c r="L19" s="772">
        <f t="shared" si="1"/>
        <v>7</v>
      </c>
      <c r="M19" s="665">
        <f t="shared" si="2"/>
        <v>1</v>
      </c>
      <c r="N19" s="212"/>
    </row>
    <row r="20" spans="1:17" ht="24.95" customHeight="1" x14ac:dyDescent="0.2">
      <c r="A20" s="188">
        <v>10</v>
      </c>
      <c r="B20" s="219" t="s">
        <v>395</v>
      </c>
      <c r="C20" s="90">
        <v>0</v>
      </c>
      <c r="D20" s="90">
        <v>0</v>
      </c>
      <c r="E20" s="90">
        <v>0</v>
      </c>
      <c r="F20" s="90">
        <v>0</v>
      </c>
      <c r="G20" s="68">
        <f t="shared" si="0"/>
        <v>0</v>
      </c>
      <c r="H20" s="562">
        <v>0</v>
      </c>
      <c r="I20" s="335">
        <v>0</v>
      </c>
      <c r="J20" s="335">
        <v>0</v>
      </c>
      <c r="K20" s="335">
        <v>0</v>
      </c>
      <c r="L20" s="772">
        <f t="shared" si="1"/>
        <v>0</v>
      </c>
      <c r="M20" s="665">
        <f t="shared" si="2"/>
        <v>0</v>
      </c>
      <c r="N20" s="212"/>
    </row>
    <row r="21" spans="1:17" ht="24.95" customHeight="1" x14ac:dyDescent="0.2">
      <c r="A21" s="188">
        <v>11</v>
      </c>
      <c r="B21" s="219" t="s">
        <v>396</v>
      </c>
      <c r="C21" s="90">
        <v>1</v>
      </c>
      <c r="D21" s="90">
        <v>0</v>
      </c>
      <c r="E21" s="90">
        <v>0</v>
      </c>
      <c r="F21" s="90">
        <v>0</v>
      </c>
      <c r="G21" s="68">
        <f t="shared" si="0"/>
        <v>1</v>
      </c>
      <c r="H21" s="562">
        <v>1</v>
      </c>
      <c r="I21" s="335">
        <v>0</v>
      </c>
      <c r="J21" s="335">
        <v>0</v>
      </c>
      <c r="K21" s="335">
        <v>0</v>
      </c>
      <c r="L21" s="772">
        <f t="shared" si="1"/>
        <v>1</v>
      </c>
      <c r="M21" s="665">
        <f t="shared" si="2"/>
        <v>0</v>
      </c>
      <c r="N21" s="212"/>
    </row>
    <row r="22" spans="1:17" ht="24.95" customHeight="1" x14ac:dyDescent="0.2">
      <c r="A22" s="188">
        <v>12</v>
      </c>
      <c r="B22" s="219" t="s">
        <v>397</v>
      </c>
      <c r="C22" s="90">
        <v>1</v>
      </c>
      <c r="D22" s="90">
        <v>2</v>
      </c>
      <c r="E22" s="90">
        <v>0</v>
      </c>
      <c r="F22" s="90">
        <v>1</v>
      </c>
      <c r="G22" s="68">
        <f>C22+D22+E22+F22</f>
        <v>4</v>
      </c>
      <c r="H22" s="562">
        <v>1</v>
      </c>
      <c r="I22" s="335">
        <v>2</v>
      </c>
      <c r="J22" s="335">
        <v>0</v>
      </c>
      <c r="K22" s="335">
        <v>1</v>
      </c>
      <c r="L22" s="772">
        <f t="shared" si="1"/>
        <v>4</v>
      </c>
      <c r="M22" s="665">
        <f t="shared" si="2"/>
        <v>0</v>
      </c>
      <c r="N22" s="212"/>
    </row>
    <row r="23" spans="1:17" ht="24.95" customHeight="1" x14ac:dyDescent="0.2">
      <c r="A23" s="188">
        <v>13</v>
      </c>
      <c r="B23" s="219" t="s">
        <v>398</v>
      </c>
      <c r="C23" s="90">
        <v>1</v>
      </c>
      <c r="D23" s="90">
        <v>0</v>
      </c>
      <c r="E23" s="90">
        <v>0</v>
      </c>
      <c r="F23" s="90">
        <v>0</v>
      </c>
      <c r="G23" s="68">
        <f t="shared" si="0"/>
        <v>1</v>
      </c>
      <c r="H23" s="562">
        <v>0</v>
      </c>
      <c r="I23" s="335">
        <v>0</v>
      </c>
      <c r="J23" s="335">
        <v>0</v>
      </c>
      <c r="K23" s="335">
        <v>0</v>
      </c>
      <c r="L23" s="772">
        <f t="shared" si="1"/>
        <v>0</v>
      </c>
      <c r="M23" s="665">
        <f t="shared" si="2"/>
        <v>1</v>
      </c>
      <c r="N23" s="212"/>
    </row>
    <row r="24" spans="1:17" s="11" customFormat="1" ht="21" customHeight="1" x14ac:dyDescent="0.2">
      <c r="A24" s="188" t="s">
        <v>18</v>
      </c>
      <c r="B24" s="188"/>
      <c r="C24" s="188">
        <f>SUM(C11:C23)</f>
        <v>20</v>
      </c>
      <c r="D24" s="188">
        <f t="shared" ref="D24:M24" si="3">SUM(D11:D23)</f>
        <v>48</v>
      </c>
      <c r="E24" s="188">
        <f t="shared" si="3"/>
        <v>0</v>
      </c>
      <c r="F24" s="188">
        <f t="shared" si="3"/>
        <v>22</v>
      </c>
      <c r="G24" s="188">
        <f t="shared" si="3"/>
        <v>90</v>
      </c>
      <c r="H24" s="539">
        <f t="shared" si="3"/>
        <v>18</v>
      </c>
      <c r="I24" s="188">
        <f t="shared" si="3"/>
        <v>41</v>
      </c>
      <c r="J24" s="188">
        <f t="shared" si="3"/>
        <v>0</v>
      </c>
      <c r="K24" s="188">
        <f t="shared" si="3"/>
        <v>22</v>
      </c>
      <c r="L24" s="188">
        <f t="shared" si="3"/>
        <v>81</v>
      </c>
      <c r="M24" s="188">
        <f t="shared" si="3"/>
        <v>9</v>
      </c>
      <c r="N24" s="188"/>
    </row>
    <row r="25" spans="1:17" x14ac:dyDescent="0.2">
      <c r="A25" s="8"/>
      <c r="B25" s="9"/>
      <c r="C25" s="9"/>
      <c r="D25" s="9"/>
      <c r="E25" s="9"/>
      <c r="F25" s="9"/>
      <c r="G25" s="9"/>
      <c r="H25" s="9"/>
      <c r="I25" s="9"/>
      <c r="J25" s="9"/>
      <c r="K25" s="9"/>
      <c r="L25" s="9"/>
      <c r="M25" s="9"/>
      <c r="N25" s="9"/>
      <c r="Q25" s="11"/>
    </row>
    <row r="26" spans="1:17" x14ac:dyDescent="0.2">
      <c r="A26" s="458" t="s">
        <v>7</v>
      </c>
      <c r="J26" s="1135" t="s">
        <v>1122</v>
      </c>
      <c r="K26" s="1135"/>
      <c r="L26" s="1135"/>
      <c r="Q26" s="11"/>
    </row>
    <row r="27" spans="1:17" x14ac:dyDescent="0.2">
      <c r="A27" s="451" t="s">
        <v>8</v>
      </c>
      <c r="J27" s="1151" t="s">
        <v>1123</v>
      </c>
      <c r="K27" s="1151"/>
      <c r="L27" s="1151"/>
      <c r="Q27" s="11"/>
    </row>
    <row r="28" spans="1:17" ht="12.75" customHeight="1" x14ac:dyDescent="0.2">
      <c r="A28" s="451" t="s">
        <v>9</v>
      </c>
      <c r="J28" s="9"/>
      <c r="K28" s="9"/>
      <c r="L28" s="9"/>
      <c r="M28" s="8"/>
      <c r="N28" s="8" t="s">
        <v>10</v>
      </c>
    </row>
    <row r="29" spans="1:17" x14ac:dyDescent="0.2">
      <c r="A29" s="459" t="s">
        <v>581</v>
      </c>
      <c r="B29" s="284"/>
      <c r="C29" s="284"/>
      <c r="J29" s="567"/>
      <c r="K29" s="567"/>
      <c r="L29" s="567"/>
      <c r="M29" s="8"/>
      <c r="N29" s="8"/>
    </row>
    <row r="30" spans="1:17" x14ac:dyDescent="0.2">
      <c r="E30" s="9"/>
      <c r="F30" s="9"/>
      <c r="G30" s="9"/>
      <c r="H30" s="9"/>
      <c r="I30" s="9"/>
      <c r="J30" s="9"/>
      <c r="K30" s="9"/>
      <c r="L30" s="9"/>
      <c r="M30" s="9"/>
      <c r="N30" s="9"/>
    </row>
    <row r="31" spans="1:17" x14ac:dyDescent="0.2">
      <c r="A31" s="12"/>
      <c r="B31" s="12"/>
      <c r="C31" s="12"/>
      <c r="D31" s="12"/>
      <c r="E31" s="16"/>
      <c r="F31" s="16"/>
      <c r="G31" s="16"/>
      <c r="H31" s="16"/>
      <c r="I31" s="16"/>
      <c r="J31" s="16"/>
      <c r="K31" s="16"/>
      <c r="L31" s="16"/>
      <c r="M31" s="16"/>
      <c r="N31" s="16"/>
    </row>
    <row r="32" spans="1:17" x14ac:dyDescent="0.2">
      <c r="A32" s="455" t="s">
        <v>608</v>
      </c>
      <c r="B32" s="238"/>
      <c r="C32" s="238"/>
      <c r="D32" s="238"/>
      <c r="E32" s="238"/>
      <c r="F32" s="238"/>
      <c r="G32" s="238"/>
      <c r="H32" s="238"/>
      <c r="I32" s="454"/>
      <c r="J32" s="454"/>
      <c r="K32" s="454"/>
      <c r="L32" s="1074" t="s">
        <v>12</v>
      </c>
      <c r="M32" s="1074"/>
      <c r="N32" s="1074"/>
    </row>
    <row r="33" spans="1:14" x14ac:dyDescent="0.2">
      <c r="A33" s="1150" t="s">
        <v>13</v>
      </c>
      <c r="B33" s="1150"/>
      <c r="C33" s="1150"/>
      <c r="D33" s="1150"/>
      <c r="E33" s="1150"/>
      <c r="F33" s="1150"/>
      <c r="G33" s="1150"/>
      <c r="H33" s="1150"/>
      <c r="I33" s="1150"/>
      <c r="J33" s="1150"/>
      <c r="K33" s="1150"/>
      <c r="L33" s="1150"/>
      <c r="M33" s="1150"/>
      <c r="N33" s="1150"/>
    </row>
    <row r="34" spans="1:14" x14ac:dyDescent="0.2">
      <c r="A34" s="1150" t="s">
        <v>14</v>
      </c>
      <c r="B34" s="1150"/>
      <c r="C34" s="1150"/>
      <c r="D34" s="1150"/>
      <c r="E34" s="1150"/>
      <c r="F34" s="1150"/>
      <c r="G34" s="1150"/>
      <c r="H34" s="1150"/>
      <c r="I34" s="1150"/>
      <c r="J34" s="1150"/>
      <c r="K34" s="1150"/>
      <c r="L34" s="1150"/>
      <c r="M34" s="1150"/>
      <c r="N34" s="1150"/>
    </row>
    <row r="35" spans="1:14" x14ac:dyDescent="0.2">
      <c r="L35" s="1" t="s">
        <v>84</v>
      </c>
    </row>
    <row r="37" spans="1:14" x14ac:dyDescent="0.2">
      <c r="A37" s="1149"/>
      <c r="B37" s="1149"/>
      <c r="C37" s="1149"/>
      <c r="D37" s="1149"/>
      <c r="E37" s="1149"/>
      <c r="F37" s="1149"/>
      <c r="G37" s="1149"/>
      <c r="H37" s="1149"/>
      <c r="I37" s="1149"/>
      <c r="J37" s="1149"/>
      <c r="K37" s="1149"/>
      <c r="L37" s="1149"/>
      <c r="M37" s="1149"/>
      <c r="N37" s="1149"/>
    </row>
  </sheetData>
  <mergeCells count="19">
    <mergeCell ref="A4:N4"/>
    <mergeCell ref="A5:N5"/>
    <mergeCell ref="L7:N7"/>
    <mergeCell ref="A34:N34"/>
    <mergeCell ref="M2:N2"/>
    <mergeCell ref="A7:C7"/>
    <mergeCell ref="D2:J2"/>
    <mergeCell ref="A3:N3"/>
    <mergeCell ref="A37:N37"/>
    <mergeCell ref="L32:N32"/>
    <mergeCell ref="A33:N33"/>
    <mergeCell ref="M8:M9"/>
    <mergeCell ref="C8:G8"/>
    <mergeCell ref="N8:N9"/>
    <mergeCell ref="B8:B9"/>
    <mergeCell ref="J26:L26"/>
    <mergeCell ref="J27:L27"/>
    <mergeCell ref="H8:L8"/>
    <mergeCell ref="A8:A9"/>
  </mergeCells>
  <phoneticPr fontId="0" type="noConversion"/>
  <printOptions horizontalCentered="1"/>
  <pageMargins left="0.37" right="0.32" top="0.23622047244094491" bottom="0" header="0.31496062992125984" footer="0.22"/>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77</vt:i4>
      </vt:variant>
      <vt:variant>
        <vt:lpstr>Named Ranges</vt:lpstr>
      </vt:variant>
      <vt:variant>
        <vt:i4>59</vt:i4>
      </vt:variant>
    </vt:vector>
  </HeadingPairs>
  <TitlesOfParts>
    <vt:vector size="136" baseType="lpstr">
      <vt:lpstr>Sheet1</vt:lpstr>
      <vt:lpstr>Contents1</vt:lpstr>
      <vt:lpstr>Sheet2</vt:lpstr>
      <vt:lpstr>AT-1-Gen_Info </vt:lpstr>
      <vt:lpstr>AT-2-S1 BUDGET</vt:lpstr>
      <vt:lpstr>AT_2A_fundflow</vt:lpstr>
      <vt:lpstr>AT-3</vt:lpstr>
      <vt:lpstr>AT3A_cvrg(Insti)_PY</vt:lpstr>
      <vt:lpstr>AT3B_cvrg(Insti)_UPY </vt:lpstr>
      <vt:lpstr>AT3C_cvrg(Insti)_UPY </vt:lpstr>
      <vt:lpstr>enrolment vs opted_PY</vt:lpstr>
      <vt:lpstr>enrolment vs opted_UPY</vt:lpstr>
      <vt:lpstr>AT-4B</vt:lpstr>
      <vt:lpstr>T5_PLAN_vs_PRFM</vt:lpstr>
      <vt:lpstr>T5A_PLAN_vs_PRFM (2)</vt:lpstr>
      <vt:lpstr>AT_5B PERM</vt:lpstr>
      <vt:lpstr>AT_5C PERM</vt:lpstr>
      <vt:lpstr>AT_5D PERM</vt:lpstr>
      <vt:lpstr>T6_FG_py_Utlsn</vt:lpstr>
      <vt:lpstr>T6A_FG_Upy_Utlsn </vt:lpstr>
      <vt:lpstr>T6B_Pay_FG_FCI_Pry</vt:lpstr>
      <vt:lpstr>T6C_Util</vt:lpstr>
      <vt:lpstr>T7_CC_PY_Utlsn</vt:lpstr>
      <vt:lpstr>T7ACC_UPY_Utlsn </vt:lpstr>
      <vt:lpstr>AT-8_Hon_CCH_Pry</vt:lpstr>
      <vt:lpstr>AT-8A_Hon_CCH_UPRY</vt:lpstr>
      <vt:lpstr>AT9_TA</vt:lpstr>
      <vt:lpstr>AT10_MME</vt:lpstr>
      <vt:lpstr>AT10A_</vt:lpstr>
      <vt:lpstr>AT-10B</vt:lpstr>
      <vt:lpstr>AT-10C</vt:lpstr>
      <vt:lpstr>AT-10D</vt:lpstr>
      <vt:lpstr>AT-10 E</vt:lpstr>
      <vt:lpstr>AT-10 F Cooks Training (2)</vt:lpstr>
      <vt:lpstr>AT-10 F Cooks Training</vt:lpstr>
      <vt:lpstr>AT11_KS Year</vt:lpstr>
      <vt:lpstr>AT11A_KS</vt:lpstr>
      <vt:lpstr>AT12_KD new</vt:lpstr>
      <vt:lpstr>AT12A_Repl</vt:lpstr>
      <vt:lpstr>AT-13</vt:lpstr>
      <vt:lpstr>AT-14</vt:lpstr>
      <vt:lpstr>AT-14 A</vt:lpstr>
      <vt:lpstr>AT-15</vt:lpstr>
      <vt:lpstr>AT-16</vt:lpstr>
      <vt:lpstr>AT_17_Coverage-SHP </vt:lpstr>
      <vt:lpstr>AT18_Details_Community </vt:lpstr>
      <vt:lpstr>AT_19_Impl_Agency</vt:lpstr>
      <vt:lpstr>AT_20</vt:lpstr>
      <vt:lpstr>AT-21</vt:lpstr>
      <vt:lpstr>AT-22</vt:lpstr>
      <vt:lpstr>AT-23</vt:lpstr>
      <vt:lpstr>AT-23 (A)</vt:lpstr>
      <vt:lpstr>AT-24</vt:lpstr>
      <vt:lpstr>AT-25</vt:lpstr>
      <vt:lpstr>Sheet3</vt:lpstr>
      <vt:lpstr>AT26_NoWD</vt:lpstr>
      <vt:lpstr>AT26A_NoWD</vt:lpstr>
      <vt:lpstr>AT27_Req_FG_CA_Pry</vt:lpstr>
      <vt:lpstr>AT27A_Req_FG_CA_UPry</vt:lpstr>
      <vt:lpstr>AT27B_Req_FG_CA_NCLP</vt:lpstr>
      <vt:lpstr>AT27C_Req_FG_CA_Drought (Pry)</vt:lpstr>
      <vt:lpstr>AT27D_Req_FG_CA_Drought(U.Pry.)</vt:lpstr>
      <vt:lpstr>AT_28_RqmtKitchen</vt:lpstr>
      <vt:lpstr>AT-28A_RqmtPlinthArea,</vt:lpstr>
      <vt:lpstr>AT-28B_Kitchen repair</vt:lpstr>
      <vt:lpstr>AT29_Replacement KD </vt:lpstr>
      <vt:lpstr>AT29_A_Replacement KD</vt:lpstr>
      <vt:lpstr>AT-30_Coook-cum-Helper</vt:lpstr>
      <vt:lpstr>AT_31_Budget_provision_11-121 </vt:lpstr>
      <vt:lpstr>Summary of Budget-Proposed</vt:lpstr>
      <vt:lpstr>AT32_Drought Pry Util</vt:lpstr>
      <vt:lpstr>AT-32A Drought UPry Util</vt:lpstr>
      <vt:lpstr>Sheet2 (2)</vt:lpstr>
      <vt:lpstr>72 new madarsha</vt:lpstr>
      <vt:lpstr>72 Madarsas kd</vt:lpstr>
      <vt:lpstr>Budget-Proposed (3)</vt:lpstr>
      <vt:lpstr>Budget-Proposed Best Quarte (2)</vt:lpstr>
      <vt:lpstr>'72 Madarsas kd'!Print_Area</vt:lpstr>
      <vt:lpstr>'72 new madarsha'!Print_Area</vt:lpstr>
      <vt:lpstr>'AT_17_Coverage-SHP '!Print_Area</vt:lpstr>
      <vt:lpstr>AT_19_Impl_Agency!Print_Area</vt:lpstr>
      <vt:lpstr>AT_28_RqmtKitchen!Print_Area</vt:lpstr>
      <vt:lpstr>AT_2A_fundflow!Print_Area</vt:lpstr>
      <vt:lpstr>'AT_31_Budget_provision_11-121 '!Print_Area</vt:lpstr>
      <vt:lpstr>'AT-10 E'!Print_Area</vt:lpstr>
      <vt:lpstr>'AT-10 F Cooks Training'!Print_Area</vt:lpstr>
      <vt:lpstr>'AT-10 F Cooks Training (2)'!Print_Area</vt:lpstr>
      <vt:lpstr>AT10_MME!Print_Area</vt:lpstr>
      <vt:lpstr>AT10A_!Print_Area</vt:lpstr>
      <vt:lpstr>'AT-10C'!Print_Area</vt:lpstr>
      <vt:lpstr>'AT-10D'!Print_Area</vt:lpstr>
      <vt:lpstr>AT11A_KS!Print_Area</vt:lpstr>
      <vt:lpstr>'AT12_KD new'!Print_Area</vt:lpstr>
      <vt:lpstr>'AT-13'!Print_Area</vt:lpstr>
      <vt:lpstr>'AT-14 A'!Print_Area</vt:lpstr>
      <vt:lpstr>'AT-16'!Print_Area</vt:lpstr>
      <vt:lpstr>'AT18_Details_Community '!Print_Area</vt:lpstr>
      <vt:lpstr>'AT-1-Gen_Info '!Print_Area</vt:lpstr>
      <vt:lpstr>'AT-22'!Print_Area</vt:lpstr>
      <vt:lpstr>AT26_NoWD!Print_Area</vt:lpstr>
      <vt:lpstr>AT26A_NoWD!Print_Area</vt:lpstr>
      <vt:lpstr>AT27_Req_FG_CA_Pry!Print_Area</vt:lpstr>
      <vt:lpstr>AT27A_Req_FG_CA_UPry!Print_Area</vt:lpstr>
      <vt:lpstr>AT27B_Req_FG_CA_NCLP!Print_Area</vt:lpstr>
      <vt:lpstr>'AT27C_Req_FG_CA_Drought (Pry)'!Print_Area</vt:lpstr>
      <vt:lpstr>'AT27D_Req_FG_CA_Drought(U.Pry.)'!Print_Area</vt:lpstr>
      <vt:lpstr>'AT-28A_RqmtPlinthArea,'!Print_Area</vt:lpstr>
      <vt:lpstr>'AT-28B_Kitchen repair'!Print_Area</vt:lpstr>
      <vt:lpstr>'AT29_A_Replacement KD'!Print_Area</vt:lpstr>
      <vt:lpstr>'AT29_Replacement KD '!Print_Area</vt:lpstr>
      <vt:lpstr>'AT-2-S1 BUDGET'!Print_Area</vt:lpstr>
      <vt:lpstr>'AT-30_Coook-cum-Helper'!Print_Area</vt:lpstr>
      <vt:lpstr>'AT32_Drought Pry Util'!Print_Area</vt:lpstr>
      <vt:lpstr>'AT-32A Drought UPry Util'!Print_Area</vt:lpstr>
      <vt:lpstr>'AT3A_cvrg(Insti)_PY'!Print_Area</vt:lpstr>
      <vt:lpstr>'AT3B_cvrg(Insti)_UPY '!Print_Area</vt:lpstr>
      <vt:lpstr>'AT3C_cvrg(Insti)_UPY '!Print_Area</vt:lpstr>
      <vt:lpstr>'AT-8_Hon_CCH_Pry'!Print_Area</vt:lpstr>
      <vt:lpstr>'AT-8A_Hon_CCH_UPRY'!Print_Area</vt:lpstr>
      <vt:lpstr>AT9_TA!Print_Area</vt:lpstr>
      <vt:lpstr>'Budget-Proposed (3)'!Print_Area</vt:lpstr>
      <vt:lpstr>'Budget-Proposed Best Quarte (2)'!Print_Area</vt:lpstr>
      <vt:lpstr>Contents1!Print_Area</vt:lpstr>
      <vt:lpstr>'enrolment vs opted_PY'!Print_Area</vt:lpstr>
      <vt:lpstr>'enrolment vs opted_UPY'!Print_Area</vt:lpstr>
      <vt:lpstr>Sheet2!Print_Area</vt:lpstr>
      <vt:lpstr>'Sheet2 (2)'!Print_Area</vt:lpstr>
      <vt:lpstr>Sheet3!Print_Area</vt:lpstr>
      <vt:lpstr>T5_PLAN_vs_PRFM!Print_Area</vt:lpstr>
      <vt:lpstr>'T5A_PLAN_vs_PRFM (2)'!Print_Area</vt:lpstr>
      <vt:lpstr>T6_FG_py_Utlsn!Print_Area</vt:lpstr>
      <vt:lpstr>'T6A_FG_Upy_Utlsn '!Print_Area</vt:lpstr>
      <vt:lpstr>T6B_Pay_FG_FCI_Pry!Print_Area</vt:lpstr>
      <vt:lpstr>T6C_Util!Print_Area</vt:lpstr>
      <vt:lpstr>T7_CC_PY_Utlsn!Print_Area</vt:lpstr>
      <vt:lpstr>'T7ACC_UPY_Utlsn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s.k sinha</cp:lastModifiedBy>
  <cp:lastPrinted>2019-04-27T08:14:51Z</cp:lastPrinted>
  <dcterms:created xsi:type="dcterms:W3CDTF">1996-10-14T23:33:28Z</dcterms:created>
  <dcterms:modified xsi:type="dcterms:W3CDTF">2019-06-25T12:04:38Z</dcterms:modified>
</cp:coreProperties>
</file>